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240" yWindow="570" windowWidth="38055" windowHeight="11955"/>
  </bookViews>
  <sheets>
    <sheet name="Смета" sheetId="1" r:id="rId1"/>
  </sheets>
  <definedNames>
    <definedName name="_xlnm._FilterDatabase" localSheetId="0" hidden="1">Смета!$A$1:$N$365</definedName>
    <definedName name="_xlnm.Print_Titles" localSheetId="0">Смета!$1:$1</definedName>
  </definedNames>
  <calcPr calcId="124519"/>
</workbook>
</file>

<file path=xl/calcChain.xml><?xml version="1.0" encoding="utf-8"?>
<calcChain xmlns="http://schemas.openxmlformats.org/spreadsheetml/2006/main">
  <c r="O365" i="1"/>
  <c r="M364" l="1"/>
  <c r="L364"/>
  <c r="K364"/>
  <c r="J364"/>
  <c r="I364"/>
  <c r="H364"/>
  <c r="M363"/>
  <c r="L363"/>
  <c r="K363"/>
  <c r="J363"/>
  <c r="I363"/>
  <c r="H363"/>
  <c r="M360"/>
  <c r="L360"/>
  <c r="K360"/>
  <c r="J360"/>
  <c r="I360"/>
  <c r="H360"/>
  <c r="M359"/>
  <c r="L359"/>
  <c r="K359"/>
  <c r="J359"/>
  <c r="I359"/>
  <c r="H359"/>
  <c r="M357"/>
  <c r="L357"/>
  <c r="K357"/>
  <c r="J357"/>
  <c r="I357"/>
  <c r="H357"/>
  <c r="M356"/>
  <c r="L356"/>
  <c r="K356"/>
  <c r="J356"/>
  <c r="I356"/>
  <c r="H356"/>
  <c r="M355"/>
  <c r="L355"/>
  <c r="K355"/>
  <c r="J355"/>
  <c r="I355"/>
  <c r="H355"/>
  <c r="M352"/>
  <c r="L352"/>
  <c r="K352"/>
  <c r="J352"/>
  <c r="I352"/>
  <c r="H352"/>
  <c r="M351"/>
  <c r="L351"/>
  <c r="K351"/>
  <c r="J351"/>
  <c r="I351"/>
  <c r="H351"/>
  <c r="M350"/>
  <c r="L350"/>
  <c r="K350"/>
  <c r="J350"/>
  <c r="I350"/>
  <c r="H350"/>
  <c r="M349"/>
  <c r="L349"/>
  <c r="K349"/>
  <c r="J349"/>
  <c r="I349"/>
  <c r="H349"/>
  <c r="M348"/>
  <c r="L348"/>
  <c r="K348"/>
  <c r="J348"/>
  <c r="I348"/>
  <c r="H348"/>
  <c r="M347"/>
  <c r="L347"/>
  <c r="K347"/>
  <c r="J347"/>
  <c r="I347"/>
  <c r="H347"/>
  <c r="M346"/>
  <c r="L346"/>
  <c r="K346"/>
  <c r="J346"/>
  <c r="I346"/>
  <c r="H346"/>
  <c r="M345"/>
  <c r="L345"/>
  <c r="K345"/>
  <c r="J345"/>
  <c r="I345"/>
  <c r="H345"/>
  <c r="M344"/>
  <c r="L344"/>
  <c r="K344"/>
  <c r="J344"/>
  <c r="I344"/>
  <c r="H344"/>
  <c r="M343"/>
  <c r="L343"/>
  <c r="K343"/>
  <c r="J343"/>
  <c r="I343"/>
  <c r="H343"/>
  <c r="M341"/>
  <c r="L341"/>
  <c r="K341"/>
  <c r="J341"/>
  <c r="I341"/>
  <c r="H341"/>
  <c r="M340"/>
  <c r="L340"/>
  <c r="K340"/>
  <c r="J340"/>
  <c r="I340"/>
  <c r="H340"/>
  <c r="M339"/>
  <c r="L339"/>
  <c r="K339"/>
  <c r="J339"/>
  <c r="I339"/>
  <c r="H339"/>
  <c r="M337"/>
  <c r="L337"/>
  <c r="K337"/>
  <c r="J337"/>
  <c r="I337"/>
  <c r="H337"/>
  <c r="M336"/>
  <c r="L336"/>
  <c r="K336"/>
  <c r="J336"/>
  <c r="I336"/>
  <c r="H336"/>
  <c r="M335"/>
  <c r="L335"/>
  <c r="K335"/>
  <c r="J335"/>
  <c r="I335"/>
  <c r="H335"/>
  <c r="M334"/>
  <c r="L334"/>
  <c r="K334"/>
  <c r="J334"/>
  <c r="I334"/>
  <c r="H334"/>
  <c r="M333"/>
  <c r="L333"/>
  <c r="K333"/>
  <c r="J333"/>
  <c r="I333"/>
  <c r="H333"/>
  <c r="M331"/>
  <c r="L331"/>
  <c r="K331"/>
  <c r="J331"/>
  <c r="I331"/>
  <c r="H331"/>
  <c r="M329"/>
  <c r="L329"/>
  <c r="K329"/>
  <c r="J329"/>
  <c r="I329"/>
  <c r="H329"/>
  <c r="M327"/>
  <c r="L327"/>
  <c r="K327"/>
  <c r="J327"/>
  <c r="I327"/>
  <c r="H327"/>
  <c r="M326"/>
  <c r="L326"/>
  <c r="K326"/>
  <c r="J326"/>
  <c r="I326"/>
  <c r="H326"/>
  <c r="M325"/>
  <c r="L325"/>
  <c r="K325"/>
  <c r="J325"/>
  <c r="I325"/>
  <c r="H325"/>
  <c r="M324"/>
  <c r="L324"/>
  <c r="K324"/>
  <c r="J324"/>
  <c r="I324"/>
  <c r="H324"/>
  <c r="M322"/>
  <c r="L322"/>
  <c r="K322"/>
  <c r="J322"/>
  <c r="I322"/>
  <c r="H322"/>
  <c r="M321"/>
  <c r="L321"/>
  <c r="K321"/>
  <c r="J321"/>
  <c r="I321"/>
  <c r="H321"/>
  <c r="M320"/>
  <c r="L320"/>
  <c r="K320"/>
  <c r="J320"/>
  <c r="I320"/>
  <c r="H320"/>
  <c r="M317"/>
  <c r="L317"/>
  <c r="K317"/>
  <c r="J317"/>
  <c r="I317"/>
  <c r="H317"/>
  <c r="M316"/>
  <c r="L316"/>
  <c r="K316"/>
  <c r="J316"/>
  <c r="I316"/>
  <c r="H316"/>
  <c r="M314"/>
  <c r="L314"/>
  <c r="K314"/>
  <c r="J314"/>
  <c r="I314"/>
  <c r="H314"/>
  <c r="M312"/>
  <c r="L312"/>
  <c r="K312"/>
  <c r="J312"/>
  <c r="I312"/>
  <c r="H312"/>
  <c r="M311"/>
  <c r="L311"/>
  <c r="K311"/>
  <c r="J311"/>
  <c r="I311"/>
  <c r="H311"/>
  <c r="M310"/>
  <c r="L310"/>
  <c r="K310"/>
  <c r="J310"/>
  <c r="I310"/>
  <c r="H310"/>
  <c r="M307"/>
  <c r="L307"/>
  <c r="K307"/>
  <c r="J307"/>
  <c r="I307"/>
  <c r="H307"/>
  <c r="M304"/>
  <c r="L304"/>
  <c r="K304"/>
  <c r="J304"/>
  <c r="I304"/>
  <c r="H304"/>
  <c r="M303"/>
  <c r="L303"/>
  <c r="K303"/>
  <c r="J303"/>
  <c r="I303"/>
  <c r="H303"/>
  <c r="M302"/>
  <c r="L302"/>
  <c r="K302"/>
  <c r="J302"/>
  <c r="I302"/>
  <c r="H302"/>
  <c r="M301"/>
  <c r="L301"/>
  <c r="K301"/>
  <c r="J301"/>
  <c r="I301"/>
  <c r="H301"/>
  <c r="M300"/>
  <c r="L300"/>
  <c r="K300"/>
  <c r="J300"/>
  <c r="I300"/>
  <c r="H300"/>
  <c r="M299"/>
  <c r="L299"/>
  <c r="K299"/>
  <c r="J299"/>
  <c r="I299"/>
  <c r="H299"/>
  <c r="M298"/>
  <c r="L298"/>
  <c r="K298"/>
  <c r="J298"/>
  <c r="I298"/>
  <c r="H298"/>
  <c r="M296"/>
  <c r="L296"/>
  <c r="K296"/>
  <c r="J296"/>
  <c r="I296"/>
  <c r="H296"/>
  <c r="M295"/>
  <c r="L295"/>
  <c r="K295"/>
  <c r="J295"/>
  <c r="I295"/>
  <c r="H295"/>
  <c r="M292"/>
  <c r="L292"/>
  <c r="K292"/>
  <c r="J292"/>
  <c r="I292"/>
  <c r="H292"/>
  <c r="M291"/>
  <c r="L291"/>
  <c r="K291"/>
  <c r="J291"/>
  <c r="I291"/>
  <c r="H291"/>
  <c r="M290"/>
  <c r="L290"/>
  <c r="K290"/>
  <c r="J290"/>
  <c r="I290"/>
  <c r="H290"/>
  <c r="M288"/>
  <c r="L288"/>
  <c r="K288"/>
  <c r="J288"/>
  <c r="I288"/>
  <c r="H288"/>
  <c r="M287"/>
  <c r="L287"/>
  <c r="K287"/>
  <c r="J287"/>
  <c r="I287"/>
  <c r="H287"/>
  <c r="M285"/>
  <c r="L285"/>
  <c r="K285"/>
  <c r="J285"/>
  <c r="I285"/>
  <c r="H285"/>
  <c r="M284"/>
  <c r="L284"/>
  <c r="K284"/>
  <c r="J284"/>
  <c r="I284"/>
  <c r="H284"/>
  <c r="M282"/>
  <c r="L282"/>
  <c r="K282"/>
  <c r="J282"/>
  <c r="I282"/>
  <c r="H282"/>
  <c r="M281"/>
  <c r="L281"/>
  <c r="K281"/>
  <c r="J281"/>
  <c r="I281"/>
  <c r="H281"/>
  <c r="M276"/>
  <c r="L276"/>
  <c r="K276"/>
  <c r="J276"/>
  <c r="I276"/>
  <c r="H276"/>
  <c r="M273"/>
  <c r="L273"/>
  <c r="K273"/>
  <c r="J273"/>
  <c r="I273"/>
  <c r="H273"/>
  <c r="M272"/>
  <c r="L272"/>
  <c r="K272"/>
  <c r="J272"/>
  <c r="I272"/>
  <c r="H272"/>
  <c r="M270"/>
  <c r="L270"/>
  <c r="K270"/>
  <c r="J270"/>
  <c r="I270"/>
  <c r="H270"/>
  <c r="M269"/>
  <c r="L269"/>
  <c r="K269"/>
  <c r="J269"/>
  <c r="I269"/>
  <c r="H269"/>
  <c r="M268"/>
  <c r="L268"/>
  <c r="K268"/>
  <c r="J268"/>
  <c r="I268"/>
  <c r="H268"/>
  <c r="M267"/>
  <c r="L267"/>
  <c r="K267"/>
  <c r="J267"/>
  <c r="I267"/>
  <c r="H267"/>
  <c r="M265"/>
  <c r="L265"/>
  <c r="K265"/>
  <c r="J265"/>
  <c r="I265"/>
  <c r="H265"/>
  <c r="M264"/>
  <c r="L264"/>
  <c r="K264"/>
  <c r="J264"/>
  <c r="I264"/>
  <c r="H264"/>
  <c r="M263"/>
  <c r="L263"/>
  <c r="K263"/>
  <c r="J263"/>
  <c r="I263"/>
  <c r="H263"/>
  <c r="M262"/>
  <c r="L262"/>
  <c r="K262"/>
  <c r="J262"/>
  <c r="I262"/>
  <c r="H262"/>
  <c r="M261"/>
  <c r="L261"/>
  <c r="K261"/>
  <c r="J261"/>
  <c r="I261"/>
  <c r="H261"/>
  <c r="M259"/>
  <c r="L259"/>
  <c r="K259"/>
  <c r="J259"/>
  <c r="I259"/>
  <c r="H259"/>
  <c r="M258"/>
  <c r="L258"/>
  <c r="K258"/>
  <c r="J258"/>
  <c r="I258"/>
  <c r="H258"/>
  <c r="M257"/>
  <c r="L257"/>
  <c r="K257"/>
  <c r="J257"/>
  <c r="I257"/>
  <c r="H257"/>
  <c r="M256"/>
  <c r="L256"/>
  <c r="K256"/>
  <c r="J256"/>
  <c r="I256"/>
  <c r="H256"/>
  <c r="M255"/>
  <c r="L255"/>
  <c r="K255"/>
  <c r="J255"/>
  <c r="I255"/>
  <c r="H255"/>
  <c r="M252"/>
  <c r="L252"/>
  <c r="K252"/>
  <c r="J252"/>
  <c r="I252"/>
  <c r="H252"/>
  <c r="M250"/>
  <c r="L250"/>
  <c r="K250"/>
  <c r="J250"/>
  <c r="I250"/>
  <c r="H250"/>
  <c r="M249"/>
  <c r="L249"/>
  <c r="K249"/>
  <c r="J249"/>
  <c r="I249"/>
  <c r="H249"/>
  <c r="M247"/>
  <c r="L247"/>
  <c r="K247"/>
  <c r="J247"/>
  <c r="I247"/>
  <c r="H247"/>
  <c r="M246"/>
  <c r="L246"/>
  <c r="K246"/>
  <c r="J246"/>
  <c r="I246"/>
  <c r="H246"/>
  <c r="M245"/>
  <c r="L245"/>
  <c r="K245"/>
  <c r="J245"/>
  <c r="I245"/>
  <c r="H245"/>
  <c r="M242"/>
  <c r="L242"/>
  <c r="K242"/>
  <c r="J242"/>
  <c r="I242"/>
  <c r="H242"/>
  <c r="M240"/>
  <c r="L240"/>
  <c r="K240"/>
  <c r="J240"/>
  <c r="I240"/>
  <c r="H240"/>
  <c r="M239"/>
  <c r="L239"/>
  <c r="K239"/>
  <c r="J239"/>
  <c r="I239"/>
  <c r="H239"/>
  <c r="M237"/>
  <c r="L237"/>
  <c r="K237"/>
  <c r="J237"/>
  <c r="I237"/>
  <c r="H237"/>
  <c r="M236"/>
  <c r="L236"/>
  <c r="K236"/>
  <c r="J236"/>
  <c r="I236"/>
  <c r="H236"/>
  <c r="M235"/>
  <c r="L235"/>
  <c r="K235"/>
  <c r="J235"/>
  <c r="I235"/>
  <c r="H235"/>
  <c r="M232"/>
  <c r="L232"/>
  <c r="K232"/>
  <c r="J232"/>
  <c r="I232"/>
  <c r="H232"/>
  <c r="M231"/>
  <c r="L231"/>
  <c r="K231"/>
  <c r="J231"/>
  <c r="I231"/>
  <c r="H231"/>
  <c r="M230"/>
  <c r="L230"/>
  <c r="K230"/>
  <c r="J230"/>
  <c r="I230"/>
  <c r="H230"/>
  <c r="M228"/>
  <c r="L228"/>
  <c r="K228"/>
  <c r="J228"/>
  <c r="I228"/>
  <c r="H228"/>
  <c r="M227"/>
  <c r="L227"/>
  <c r="K227"/>
  <c r="J227"/>
  <c r="I227"/>
  <c r="H227"/>
  <c r="M225"/>
  <c r="L225"/>
  <c r="K225"/>
  <c r="J225"/>
  <c r="I225"/>
  <c r="H225"/>
  <c r="M224"/>
  <c r="L224"/>
  <c r="K224"/>
  <c r="J224"/>
  <c r="I224"/>
  <c r="H224"/>
  <c r="M223"/>
  <c r="L223"/>
  <c r="K223"/>
  <c r="J223"/>
  <c r="I223"/>
  <c r="H223"/>
  <c r="M221"/>
  <c r="L221"/>
  <c r="K221"/>
  <c r="J221"/>
  <c r="I221"/>
  <c r="H221"/>
  <c r="M219"/>
  <c r="L219"/>
  <c r="K219"/>
  <c r="J219"/>
  <c r="I219"/>
  <c r="H219"/>
  <c r="M218"/>
  <c r="L218"/>
  <c r="K218"/>
  <c r="J218"/>
  <c r="I218"/>
  <c r="H218"/>
  <c r="M215"/>
  <c r="L215"/>
  <c r="K215"/>
  <c r="J215"/>
  <c r="I215"/>
  <c r="H215"/>
  <c r="M214"/>
  <c r="L214"/>
  <c r="K214"/>
  <c r="J214"/>
  <c r="I214"/>
  <c r="H214"/>
  <c r="M212"/>
  <c r="L212"/>
  <c r="K212"/>
  <c r="J212"/>
  <c r="I212"/>
  <c r="H212"/>
  <c r="M211"/>
  <c r="L211"/>
  <c r="K211"/>
  <c r="J211"/>
  <c r="I211"/>
  <c r="H211"/>
  <c r="M210"/>
  <c r="L210"/>
  <c r="K210"/>
  <c r="J210"/>
  <c r="I210"/>
  <c r="H210"/>
  <c r="M208"/>
  <c r="L208"/>
  <c r="K208"/>
  <c r="J208"/>
  <c r="I208"/>
  <c r="H208"/>
  <c r="M206"/>
  <c r="L206"/>
  <c r="K206"/>
  <c r="J206"/>
  <c r="I206"/>
  <c r="H206"/>
  <c r="M205"/>
  <c r="L205"/>
  <c r="K205"/>
  <c r="J205"/>
  <c r="I205"/>
  <c r="H205"/>
  <c r="M204"/>
  <c r="L204"/>
  <c r="K204"/>
  <c r="J204"/>
  <c r="I204"/>
  <c r="H204"/>
  <c r="M203"/>
  <c r="L203"/>
  <c r="K203"/>
  <c r="J203"/>
  <c r="I203"/>
  <c r="H203"/>
  <c r="M202"/>
  <c r="L202"/>
  <c r="K202"/>
  <c r="J202"/>
  <c r="I202"/>
  <c r="H202"/>
  <c r="M201"/>
  <c r="L201"/>
  <c r="K201"/>
  <c r="J201"/>
  <c r="I201"/>
  <c r="H201"/>
  <c r="M198"/>
  <c r="L198"/>
  <c r="K198"/>
  <c r="J198"/>
  <c r="I198"/>
  <c r="H198"/>
  <c r="M196"/>
  <c r="L196"/>
  <c r="K196"/>
  <c r="J196"/>
  <c r="I196"/>
  <c r="H196"/>
  <c r="M193"/>
  <c r="L193"/>
  <c r="K193"/>
  <c r="J193"/>
  <c r="I193"/>
  <c r="H193"/>
  <c r="M191"/>
  <c r="L191"/>
  <c r="K191"/>
  <c r="J191"/>
  <c r="I191"/>
  <c r="H191"/>
  <c r="M190"/>
  <c r="L190"/>
  <c r="K190"/>
  <c r="J190"/>
  <c r="I190"/>
  <c r="H190"/>
  <c r="M187"/>
  <c r="L187"/>
  <c r="K187"/>
  <c r="J187"/>
  <c r="I187"/>
  <c r="H187"/>
  <c r="M185"/>
  <c r="L185"/>
  <c r="K185"/>
  <c r="J185"/>
  <c r="I185"/>
  <c r="H185"/>
  <c r="M182"/>
  <c r="L182"/>
  <c r="K182"/>
  <c r="J182"/>
  <c r="I182"/>
  <c r="H182"/>
  <c r="M181"/>
  <c r="L181"/>
  <c r="K181"/>
  <c r="J181"/>
  <c r="I181"/>
  <c r="H181"/>
  <c r="M179"/>
  <c r="L179"/>
  <c r="K179"/>
  <c r="J179"/>
  <c r="I179"/>
  <c r="H179"/>
  <c r="M178"/>
  <c r="L178"/>
  <c r="K178"/>
  <c r="J178"/>
  <c r="I178"/>
  <c r="H178"/>
  <c r="M177"/>
  <c r="L177"/>
  <c r="K177"/>
  <c r="J177"/>
  <c r="I177"/>
  <c r="H177"/>
  <c r="M176"/>
  <c r="L176"/>
  <c r="K176"/>
  <c r="J176"/>
  <c r="I176"/>
  <c r="H176"/>
  <c r="M175"/>
  <c r="L175"/>
  <c r="K175"/>
  <c r="J175"/>
  <c r="I175"/>
  <c r="H175"/>
  <c r="M174"/>
  <c r="L174"/>
  <c r="K174"/>
  <c r="J174"/>
  <c r="I174"/>
  <c r="H174"/>
  <c r="M171"/>
  <c r="L171"/>
  <c r="K171"/>
  <c r="J171"/>
  <c r="I171"/>
  <c r="H171"/>
  <c r="M169"/>
  <c r="L169"/>
  <c r="K169"/>
  <c r="J169"/>
  <c r="I169"/>
  <c r="H169"/>
  <c r="M167"/>
  <c r="L167"/>
  <c r="K167"/>
  <c r="J167"/>
  <c r="I167"/>
  <c r="H167"/>
  <c r="M165"/>
  <c r="L165"/>
  <c r="K165"/>
  <c r="J165"/>
  <c r="I165"/>
  <c r="H165"/>
  <c r="M163"/>
  <c r="L163"/>
  <c r="K163"/>
  <c r="J163"/>
  <c r="I163"/>
  <c r="H163"/>
  <c r="M162"/>
  <c r="L162"/>
  <c r="K162"/>
  <c r="J162"/>
  <c r="I162"/>
  <c r="H162"/>
  <c r="M158"/>
  <c r="L158"/>
  <c r="K158"/>
  <c r="J158"/>
  <c r="I158"/>
  <c r="H158"/>
  <c r="M156"/>
  <c r="L156"/>
  <c r="K156"/>
  <c r="J156"/>
  <c r="I156"/>
  <c r="H156"/>
  <c r="M155"/>
  <c r="L155"/>
  <c r="K155"/>
  <c r="J155"/>
  <c r="I155"/>
  <c r="H155"/>
  <c r="M153"/>
  <c r="L153"/>
  <c r="K153"/>
  <c r="J153"/>
  <c r="I153"/>
  <c r="H153"/>
  <c r="M151"/>
  <c r="L151"/>
  <c r="K151"/>
  <c r="J151"/>
  <c r="I151"/>
  <c r="H151"/>
  <c r="M148"/>
  <c r="L148"/>
  <c r="K148"/>
  <c r="J148"/>
  <c r="I148"/>
  <c r="H148"/>
  <c r="M147"/>
  <c r="L147"/>
  <c r="K147"/>
  <c r="J147"/>
  <c r="I147"/>
  <c r="H147"/>
  <c r="M145"/>
  <c r="L145"/>
  <c r="K145"/>
  <c r="J145"/>
  <c r="I145"/>
  <c r="H145"/>
  <c r="M142"/>
  <c r="L142"/>
  <c r="K142"/>
  <c r="J142"/>
  <c r="I142"/>
  <c r="H142"/>
  <c r="M140"/>
  <c r="L140"/>
  <c r="K140"/>
  <c r="J140"/>
  <c r="I140"/>
  <c r="H140"/>
  <c r="M137"/>
  <c r="L137"/>
  <c r="K137"/>
  <c r="J137"/>
  <c r="I137"/>
  <c r="H137"/>
  <c r="M136"/>
  <c r="L136"/>
  <c r="K136"/>
  <c r="J136"/>
  <c r="I136"/>
  <c r="H136"/>
  <c r="M135"/>
  <c r="L135"/>
  <c r="K135"/>
  <c r="J135"/>
  <c r="I135"/>
  <c r="H135"/>
  <c r="M131"/>
  <c r="L131"/>
  <c r="K131"/>
  <c r="J131"/>
  <c r="I131"/>
  <c r="H131"/>
  <c r="M130"/>
  <c r="L130"/>
  <c r="K130"/>
  <c r="J130"/>
  <c r="I130"/>
  <c r="H130"/>
  <c r="M129"/>
  <c r="L129"/>
  <c r="K129"/>
  <c r="J129"/>
  <c r="I129"/>
  <c r="H129"/>
  <c r="M127"/>
  <c r="L127"/>
  <c r="K127"/>
  <c r="J127"/>
  <c r="I127"/>
  <c r="H127"/>
  <c r="M125"/>
  <c r="L125"/>
  <c r="K125"/>
  <c r="J125"/>
  <c r="I125"/>
  <c r="H125"/>
  <c r="M124"/>
  <c r="L124"/>
  <c r="K124"/>
  <c r="J124"/>
  <c r="I124"/>
  <c r="H124"/>
  <c r="M121"/>
  <c r="L121"/>
  <c r="K121"/>
  <c r="J121"/>
  <c r="I121"/>
  <c r="H121"/>
  <c r="M120"/>
  <c r="L120"/>
  <c r="K120"/>
  <c r="J120"/>
  <c r="I120"/>
  <c r="H120"/>
  <c r="M117"/>
  <c r="L117"/>
  <c r="K117"/>
  <c r="J117"/>
  <c r="I117"/>
  <c r="H117"/>
  <c r="M115"/>
  <c r="L115"/>
  <c r="K115"/>
  <c r="J115"/>
  <c r="I115"/>
  <c r="H115"/>
  <c r="M114"/>
  <c r="L114"/>
  <c r="K114"/>
  <c r="J114"/>
  <c r="I114"/>
  <c r="H114"/>
  <c r="M112"/>
  <c r="L112"/>
  <c r="K112"/>
  <c r="J112"/>
  <c r="I112"/>
  <c r="H112"/>
  <c r="M110"/>
  <c r="L110"/>
  <c r="K110"/>
  <c r="J110"/>
  <c r="I110"/>
  <c r="H110"/>
  <c r="M108"/>
  <c r="L108"/>
  <c r="K108"/>
  <c r="J108"/>
  <c r="I108"/>
  <c r="H108"/>
  <c r="M107"/>
  <c r="L107"/>
  <c r="K107"/>
  <c r="J107"/>
  <c r="I107"/>
  <c r="H107"/>
  <c r="M106"/>
  <c r="L106"/>
  <c r="K106"/>
  <c r="J106"/>
  <c r="I106"/>
  <c r="H106"/>
  <c r="M105"/>
  <c r="L105"/>
  <c r="K105"/>
  <c r="J105"/>
  <c r="I105"/>
  <c r="H105"/>
  <c r="M104"/>
  <c r="L104"/>
  <c r="K104"/>
  <c r="J104"/>
  <c r="I104"/>
  <c r="H104"/>
  <c r="M103"/>
  <c r="L103"/>
  <c r="K103"/>
  <c r="J103"/>
  <c r="I103"/>
  <c r="H103"/>
  <c r="M102"/>
  <c r="L102"/>
  <c r="K102"/>
  <c r="J102"/>
  <c r="I102"/>
  <c r="H102"/>
  <c r="M100"/>
  <c r="L100"/>
  <c r="K100"/>
  <c r="J100"/>
  <c r="I100"/>
  <c r="H100"/>
  <c r="M99"/>
  <c r="L99"/>
  <c r="K99"/>
  <c r="J99"/>
  <c r="I99"/>
  <c r="H99"/>
  <c r="M98"/>
  <c r="L98"/>
  <c r="K98"/>
  <c r="J98"/>
  <c r="I98"/>
  <c r="H98"/>
  <c r="M97"/>
  <c r="L97"/>
  <c r="K97"/>
  <c r="J97"/>
  <c r="I97"/>
  <c r="H97"/>
  <c r="M96"/>
  <c r="L96"/>
  <c r="K96"/>
  <c r="J96"/>
  <c r="I96"/>
  <c r="H96"/>
  <c r="M95"/>
  <c r="L95"/>
  <c r="K95"/>
  <c r="J95"/>
  <c r="I95"/>
  <c r="H95"/>
  <c r="M94"/>
  <c r="L94"/>
  <c r="K94"/>
  <c r="J94"/>
  <c r="I94"/>
  <c r="H94"/>
  <c r="M93"/>
  <c r="L93"/>
  <c r="K93"/>
  <c r="J93"/>
  <c r="I93"/>
  <c r="H93"/>
  <c r="M92"/>
  <c r="L92"/>
  <c r="K92"/>
  <c r="J92"/>
  <c r="I92"/>
  <c r="H92"/>
  <c r="M89"/>
  <c r="L89"/>
  <c r="K89"/>
  <c r="J89"/>
  <c r="I89"/>
  <c r="H89"/>
  <c r="M88"/>
  <c r="L88"/>
  <c r="K88"/>
  <c r="J88"/>
  <c r="I88"/>
  <c r="H88"/>
  <c r="M87"/>
  <c r="L87"/>
  <c r="K87"/>
  <c r="J87"/>
  <c r="I87"/>
  <c r="H87"/>
  <c r="M85"/>
  <c r="L85"/>
  <c r="K85"/>
  <c r="J85"/>
  <c r="I85"/>
  <c r="H85"/>
  <c r="M83"/>
  <c r="L83"/>
  <c r="K83"/>
  <c r="J83"/>
  <c r="I83"/>
  <c r="H83"/>
  <c r="M82"/>
  <c r="L82"/>
  <c r="K82"/>
  <c r="J82"/>
  <c r="I82"/>
  <c r="H82"/>
  <c r="M81"/>
  <c r="L81"/>
  <c r="K81"/>
  <c r="J81"/>
  <c r="I81"/>
  <c r="H81"/>
  <c r="M80"/>
  <c r="L80"/>
  <c r="K80"/>
  <c r="J80"/>
  <c r="I80"/>
  <c r="H80"/>
  <c r="M79"/>
  <c r="L79"/>
  <c r="K79"/>
  <c r="J79"/>
  <c r="I79"/>
  <c r="H79"/>
  <c r="M78"/>
  <c r="L78"/>
  <c r="K78"/>
  <c r="J78"/>
  <c r="I78"/>
  <c r="H78"/>
  <c r="M77"/>
  <c r="L77"/>
  <c r="K77"/>
  <c r="J77"/>
  <c r="I77"/>
  <c r="H77"/>
  <c r="M75"/>
  <c r="L75"/>
  <c r="K75"/>
  <c r="J75"/>
  <c r="I75"/>
  <c r="H75"/>
  <c r="M73"/>
  <c r="L73"/>
  <c r="K73"/>
  <c r="J73"/>
  <c r="I73"/>
  <c r="H73"/>
  <c r="M72"/>
  <c r="L72"/>
  <c r="K72"/>
  <c r="J72"/>
  <c r="I72"/>
  <c r="H72"/>
  <c r="M70"/>
  <c r="L70"/>
  <c r="K70"/>
  <c r="J70"/>
  <c r="I70"/>
  <c r="H70"/>
  <c r="M69"/>
  <c r="L69"/>
  <c r="K69"/>
  <c r="J69"/>
  <c r="I69"/>
  <c r="H69"/>
  <c r="M68"/>
  <c r="L68"/>
  <c r="K68"/>
  <c r="J68"/>
  <c r="I68"/>
  <c r="H68"/>
  <c r="M65"/>
  <c r="L65"/>
  <c r="K65"/>
  <c r="J65"/>
  <c r="I65"/>
  <c r="H65"/>
  <c r="M64"/>
  <c r="L64"/>
  <c r="K64"/>
  <c r="J64"/>
  <c r="I64"/>
  <c r="H64"/>
  <c r="M61"/>
  <c r="L61"/>
  <c r="K61"/>
  <c r="J61"/>
  <c r="I61"/>
  <c r="H61"/>
  <c r="M60"/>
  <c r="L60"/>
  <c r="K60"/>
  <c r="J60"/>
  <c r="I60"/>
  <c r="H60"/>
  <c r="M59"/>
  <c r="L59"/>
  <c r="K59"/>
  <c r="J59"/>
  <c r="I59"/>
  <c r="H59"/>
  <c r="M55"/>
  <c r="L55"/>
  <c r="K55"/>
  <c r="J55"/>
  <c r="I55"/>
  <c r="H55"/>
  <c r="M51"/>
  <c r="L51"/>
  <c r="K51"/>
  <c r="J51"/>
  <c r="I51"/>
  <c r="H51"/>
  <c r="M50"/>
  <c r="L50"/>
  <c r="K50"/>
  <c r="J50"/>
  <c r="I50"/>
  <c r="H50"/>
  <c r="M49"/>
  <c r="L49"/>
  <c r="K49"/>
  <c r="J49"/>
  <c r="I49"/>
  <c r="H49"/>
  <c r="M47"/>
  <c r="L47"/>
  <c r="K47"/>
  <c r="J47"/>
  <c r="I47"/>
  <c r="H47"/>
  <c r="M46"/>
  <c r="L46"/>
  <c r="K46"/>
  <c r="J46"/>
  <c r="I46"/>
  <c r="H46"/>
  <c r="M44"/>
  <c r="L44"/>
  <c r="K44"/>
  <c r="J44"/>
  <c r="I44"/>
  <c r="H44"/>
  <c r="M43"/>
  <c r="L43"/>
  <c r="K43"/>
  <c r="J43"/>
  <c r="I43"/>
  <c r="H43"/>
  <c r="M40"/>
  <c r="L40"/>
  <c r="K40"/>
  <c r="J40"/>
  <c r="I40"/>
  <c r="H40"/>
  <c r="M38"/>
  <c r="L38"/>
  <c r="K38"/>
  <c r="J38"/>
  <c r="I38"/>
  <c r="H38"/>
  <c r="M37"/>
  <c r="L37"/>
  <c r="K37"/>
  <c r="J37"/>
  <c r="I37"/>
  <c r="H37"/>
  <c r="M36"/>
  <c r="L36"/>
  <c r="K36"/>
  <c r="J36"/>
  <c r="I36"/>
  <c r="H36"/>
  <c r="M35"/>
  <c r="L35"/>
  <c r="K35"/>
  <c r="J35"/>
  <c r="I35"/>
  <c r="H35"/>
  <c r="M33"/>
  <c r="L33"/>
  <c r="K33"/>
  <c r="J33"/>
  <c r="I33"/>
  <c r="H33"/>
  <c r="M30"/>
  <c r="L30"/>
  <c r="K30"/>
  <c r="J30"/>
  <c r="I30"/>
  <c r="H30"/>
  <c r="M29"/>
  <c r="L29"/>
  <c r="K29"/>
  <c r="J29"/>
  <c r="I29"/>
  <c r="H29"/>
  <c r="M26"/>
  <c r="L26"/>
  <c r="K26"/>
  <c r="J26"/>
  <c r="I26"/>
  <c r="H26"/>
  <c r="M23"/>
  <c r="L23"/>
  <c r="K23"/>
  <c r="J23"/>
  <c r="I23"/>
  <c r="H23"/>
  <c r="M20"/>
  <c r="L20"/>
  <c r="K20"/>
  <c r="J20"/>
  <c r="I20"/>
  <c r="H20"/>
  <c r="M19"/>
  <c r="L19"/>
  <c r="K19"/>
  <c r="J19"/>
  <c r="I19"/>
  <c r="H19"/>
  <c r="M17"/>
  <c r="L17"/>
  <c r="K17"/>
  <c r="J17"/>
  <c r="I17"/>
  <c r="H17"/>
  <c r="M16"/>
  <c r="L16"/>
  <c r="K16"/>
  <c r="J16"/>
  <c r="I16"/>
  <c r="H16"/>
  <c r="M15"/>
  <c r="L15"/>
  <c r="K15"/>
  <c r="J15"/>
  <c r="I15"/>
  <c r="H15"/>
  <c r="M14"/>
  <c r="L14"/>
  <c r="K14"/>
  <c r="J14"/>
  <c r="I14"/>
  <c r="H14"/>
  <c r="M13"/>
  <c r="L13"/>
  <c r="K13"/>
  <c r="J13"/>
  <c r="I13"/>
  <c r="H13"/>
  <c r="M12"/>
  <c r="L12"/>
  <c r="K12"/>
  <c r="J12"/>
  <c r="I12"/>
  <c r="H12"/>
  <c r="M11"/>
  <c r="L11"/>
  <c r="K11"/>
  <c r="J11"/>
  <c r="I11"/>
  <c r="H11"/>
  <c r="M10"/>
  <c r="L10"/>
  <c r="K10"/>
  <c r="J10"/>
  <c r="I10"/>
  <c r="H10"/>
  <c r="M8"/>
  <c r="L8"/>
  <c r="K8"/>
  <c r="J8"/>
  <c r="I8"/>
  <c r="H8"/>
  <c r="M6"/>
  <c r="L6"/>
  <c r="L365" s="1"/>
  <c r="K6"/>
  <c r="J6"/>
  <c r="I6"/>
  <c r="H6"/>
  <c r="H365" s="1"/>
  <c r="K365" l="1"/>
  <c r="N147"/>
  <c r="N155"/>
  <c r="N163"/>
  <c r="N177"/>
  <c r="N191"/>
  <c r="N205"/>
  <c r="N218"/>
  <c r="N224"/>
  <c r="N236"/>
  <c r="N130"/>
  <c r="N182"/>
  <c r="N104"/>
  <c r="N108"/>
  <c r="N115"/>
  <c r="N124"/>
  <c r="N242"/>
  <c r="N256"/>
  <c r="N261"/>
  <c r="N270"/>
  <c r="N281"/>
  <c r="N299"/>
  <c r="N303"/>
  <c r="N311"/>
  <c r="N314"/>
  <c r="N321"/>
  <c r="N333"/>
  <c r="N337"/>
  <c r="N343"/>
  <c r="I365"/>
  <c r="M365"/>
  <c r="N10"/>
  <c r="N12"/>
  <c r="N16"/>
  <c r="N19"/>
  <c r="N23"/>
  <c r="N26"/>
  <c r="N29"/>
  <c r="N33"/>
  <c r="N35"/>
  <c r="N36"/>
  <c r="N38"/>
  <c r="N43"/>
  <c r="N46"/>
  <c r="N49"/>
  <c r="N51"/>
  <c r="N59"/>
  <c r="N61"/>
  <c r="N64"/>
  <c r="N65"/>
  <c r="N69"/>
  <c r="N70"/>
  <c r="N72"/>
  <c r="N75"/>
  <c r="N77"/>
  <c r="N78"/>
  <c r="N80"/>
  <c r="N85"/>
  <c r="N87"/>
  <c r="N88"/>
  <c r="N92"/>
  <c r="N93"/>
  <c r="N94"/>
  <c r="N96"/>
  <c r="N97"/>
  <c r="N98"/>
  <c r="N201"/>
  <c r="N347"/>
  <c r="N351"/>
  <c r="N357"/>
  <c r="N364"/>
  <c r="N211"/>
  <c r="J365"/>
  <c r="N11"/>
  <c r="N15"/>
  <c r="N20"/>
  <c r="N37"/>
  <c r="N44"/>
  <c r="N50"/>
  <c r="N83"/>
  <c r="N89"/>
  <c r="N95"/>
  <c r="N316"/>
  <c r="N327"/>
  <c r="N339"/>
  <c r="N344"/>
  <c r="N348"/>
  <c r="N352"/>
  <c r="N100"/>
  <c r="N103"/>
  <c r="N105"/>
  <c r="N110"/>
  <c r="N114"/>
  <c r="N117"/>
  <c r="N120"/>
  <c r="N129"/>
  <c r="N131"/>
  <c r="N145"/>
  <c r="N148"/>
  <c r="N153"/>
  <c r="N156"/>
  <c r="N162"/>
  <c r="N165"/>
  <c r="N167"/>
  <c r="N174"/>
  <c r="N175"/>
  <c r="N176"/>
  <c r="N178"/>
  <c r="N179"/>
  <c r="N181"/>
  <c r="N185"/>
  <c r="N187"/>
  <c r="N190"/>
  <c r="N193"/>
  <c r="N196"/>
  <c r="N198"/>
  <c r="N202"/>
  <c r="N203"/>
  <c r="N204"/>
  <c r="N210"/>
  <c r="N212"/>
  <c r="N214"/>
  <c r="N215"/>
  <c r="N219"/>
  <c r="N223"/>
  <c r="N225"/>
  <c r="N228"/>
  <c r="N231"/>
  <c r="N235"/>
  <c r="N237"/>
  <c r="N240"/>
  <c r="N245"/>
  <c r="N247"/>
  <c r="N250"/>
  <c r="N255"/>
  <c r="N257"/>
  <c r="N258"/>
  <c r="N259"/>
  <c r="N262"/>
  <c r="N263"/>
  <c r="N264"/>
  <c r="N267"/>
  <c r="N269"/>
  <c r="N272"/>
  <c r="N276"/>
  <c r="N282"/>
  <c r="N285"/>
  <c r="N291"/>
  <c r="N295"/>
  <c r="N296"/>
  <c r="N298"/>
  <c r="N300"/>
  <c r="N302"/>
  <c r="N304"/>
  <c r="N307"/>
  <c r="N312"/>
  <c r="N320"/>
  <c r="N325"/>
  <c r="N329"/>
  <c r="N331"/>
  <c r="N336"/>
  <c r="N340"/>
  <c r="N341"/>
  <c r="N346"/>
  <c r="N30"/>
  <c r="N60"/>
  <c r="N68"/>
  <c r="N73"/>
  <c r="N79"/>
  <c r="N99"/>
  <c r="N137"/>
  <c r="N171"/>
  <c r="N230"/>
  <c r="N249"/>
  <c r="N265"/>
  <c r="N287"/>
  <c r="N292"/>
  <c r="N326"/>
  <c r="N322"/>
  <c r="N334"/>
  <c r="N359"/>
  <c r="N8"/>
  <c r="N13"/>
  <c r="N14"/>
  <c r="N17"/>
  <c r="N40"/>
  <c r="N47"/>
  <c r="N55"/>
  <c r="N81"/>
  <c r="N82"/>
  <c r="N102"/>
  <c r="N106"/>
  <c r="N107"/>
  <c r="N112"/>
  <c r="N121"/>
  <c r="N125"/>
  <c r="N127"/>
  <c r="N135"/>
  <c r="N136"/>
  <c r="N140"/>
  <c r="N142"/>
  <c r="N151"/>
  <c r="N158"/>
  <c r="N169"/>
  <c r="N206"/>
  <c r="N208"/>
  <c r="N221"/>
  <c r="N227"/>
  <c r="N232"/>
  <c r="N239"/>
  <c r="N246"/>
  <c r="N252"/>
  <c r="N268"/>
  <c r="N273"/>
  <c r="N284"/>
  <c r="N288"/>
  <c r="N290"/>
  <c r="N301"/>
  <c r="N310"/>
  <c r="N317"/>
  <c r="N324"/>
  <c r="N335"/>
  <c r="N345"/>
  <c r="N349"/>
  <c r="N350"/>
  <c r="N355"/>
  <c r="N356"/>
  <c r="N360"/>
  <c r="N363"/>
  <c r="N6"/>
  <c r="N365" l="1"/>
</calcChain>
</file>

<file path=xl/sharedStrings.xml><?xml version="1.0" encoding="utf-8"?>
<sst xmlns="http://schemas.openxmlformats.org/spreadsheetml/2006/main" count="968" uniqueCount="885">
  <si>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</si>
  <si>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</si>
  <si>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</si>
  <si>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</si>
  <si>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</si>
  <si>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</si>
  <si>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</si>
  <si>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</si>
  <si>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</si>
  <si>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</si>
  <si>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</si>
  <si>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</si>
  <si>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</si>
  <si>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</si>
  <si>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Дата изменения:</t>
  </si>
  <si>
    <t>Общая площадь, кв.м:</t>
  </si>
  <si>
    <t>1.1</t>
  </si>
  <si>
    <t>Фундаменты</t>
  </si>
  <si>
    <t>1.1.2</t>
  </si>
  <si>
    <t>Осушение фундаментов</t>
  </si>
  <si>
    <t>1.1.2.3</t>
  </si>
  <si>
    <t>Осушение электрическими насосами</t>
  </si>
  <si>
    <t>100 м3 воды</t>
  </si>
  <si>
    <t>1.1.3</t>
  </si>
  <si>
    <t>Устранение замачивания грунта под фундаментом</t>
  </si>
  <si>
    <t>1.1.3.1</t>
  </si>
  <si>
    <t>Замена поврежденного участка трубопровода диаметром до 100 мм</t>
  </si>
  <si>
    <t>1 участок (6 м)</t>
  </si>
  <si>
    <t>1.1.7</t>
  </si>
  <si>
    <t>Восстановление (ремонт)  освещения и  вентиляции  подвала</t>
  </si>
  <si>
    <t>1.1.7.2</t>
  </si>
  <si>
    <t>Замена неисправных участков сети электрической сети (открытая проводка) при числе и сечении жил в проводе 2х1,5 и 2х2,5 кв.м</t>
  </si>
  <si>
    <t>100 пог.м</t>
  </si>
  <si>
    <t>1.1.7.3</t>
  </si>
  <si>
    <t>Замена ламп накаливания</t>
  </si>
  <si>
    <t>100 шт.</t>
  </si>
  <si>
    <t>1.1.7.4</t>
  </si>
  <si>
    <t>Замена выключателей</t>
  </si>
  <si>
    <t>1.1.7.5</t>
  </si>
  <si>
    <t>Замена патронов</t>
  </si>
  <si>
    <t>1.1.8</t>
  </si>
  <si>
    <t>Восстановление (ремонт)  решеток на  продухах  фундамента</t>
  </si>
  <si>
    <t>100 решеток</t>
  </si>
  <si>
    <t>1.1.9</t>
  </si>
  <si>
    <t>Восстановление (ремонт)  приямков</t>
  </si>
  <si>
    <t>кв.м. приямка</t>
  </si>
  <si>
    <t>1.1.10</t>
  </si>
  <si>
    <t>Восстановление (ремонт) отмостки</t>
  </si>
  <si>
    <t>100 м2 отмостки</t>
  </si>
  <si>
    <t>1.1.12</t>
  </si>
  <si>
    <t>Восстановление (ремонт) вводов инженерных коммуникаций   в подвальные  помещения  через  фундаменты</t>
  </si>
  <si>
    <t>1.1.13</t>
  </si>
  <si>
    <t>Утепление потолка подвала и пола чердака</t>
  </si>
  <si>
    <t>1.1.13.1</t>
  </si>
  <si>
    <t>Утепление потолка подвала при толщине утеплителя 60 мм</t>
  </si>
  <si>
    <t>100 м2 утепляемой поверхности</t>
  </si>
  <si>
    <t>1.1.14</t>
  </si>
  <si>
    <t>Заделка на зиму вентиляционных продухов</t>
  </si>
  <si>
    <t>1 место</t>
  </si>
  <si>
    <t>1.2</t>
  </si>
  <si>
    <t>Кирпичные, каменные и железобетонные стены</t>
  </si>
  <si>
    <t>1.2.2</t>
  </si>
  <si>
    <t>Восстановление теплозащиты стен</t>
  </si>
  <si>
    <t>1.2.2.1</t>
  </si>
  <si>
    <t>Утепление промерзающих углов зданий и стыков панелей со стороны помещения</t>
  </si>
  <si>
    <t>1 м стыка</t>
  </si>
  <si>
    <t>1.2.9</t>
  </si>
  <si>
    <t>Восстановление (ремонт) разрушений и  повреждений отделочного   слоя</t>
  </si>
  <si>
    <t>1.2.9.4</t>
  </si>
  <si>
    <t>Ремонт обыкновенной штукатурки кирпичных и бетонных фасадов</t>
  </si>
  <si>
    <t>1.2.9.4.2</t>
  </si>
  <si>
    <t>Ремонт обыкновенной штукатурки гладких бетонных  фасадов</t>
  </si>
  <si>
    <t>100 м2 отремонтированной поверхности</t>
  </si>
  <si>
    <t>1.2.11</t>
  </si>
  <si>
    <t>Герметизация, теплоизоляция межпанельных и иных швов</t>
  </si>
  <si>
    <t>1.2.11.1</t>
  </si>
  <si>
    <t>Заделка и герметизация швов и стыков</t>
  </si>
  <si>
    <t>1.2.11.1.1</t>
  </si>
  <si>
    <t>Заделка и герметизация швов и стыков в стенах крупноблочных и крупнопанельных домов</t>
  </si>
  <si>
    <t>на 10 м шва (стыка)</t>
  </si>
  <si>
    <t>1.2.11.1.2</t>
  </si>
  <si>
    <t>Заделка и герметизация швов и стыков в местах примыкания балконных плит к стенам</t>
  </si>
  <si>
    <t>1.2.17</t>
  </si>
  <si>
    <t>Окраска стен  помещений  общего  пользования</t>
  </si>
  <si>
    <t>1.2.17.4</t>
  </si>
  <si>
    <t>Окрашивание поверхностей стен водоэмульсионными составами</t>
  </si>
  <si>
    <t>1.2.17.4.1</t>
  </si>
  <si>
    <t>Окрашивание водоэмульсионными составами поверхностей стен, ранее окрашенных известковой или клеевой краской с расчисткой старой краски более 35%</t>
  </si>
  <si>
    <t>100 м2 окрашиваемой поверхности</t>
  </si>
  <si>
    <t>1.2.18</t>
  </si>
  <si>
    <t>Внутренняя отделка зданий</t>
  </si>
  <si>
    <t>1.2.18.1</t>
  </si>
  <si>
    <t>Ремонт внутренней штукатурки потолков отдельными местами</t>
  </si>
  <si>
    <t>100 кв. м</t>
  </si>
  <si>
    <t>1.2.18.3</t>
  </si>
  <si>
    <t>Перетирка штукатурки поверхности потолков</t>
  </si>
  <si>
    <t>100 кв.м</t>
  </si>
  <si>
    <t>1.2.18.9</t>
  </si>
  <si>
    <t>Окрашивание водоэмульсионными составами поверхностей потолков, ранее окрашенных известковой или клеевой краской с расчисткой старой краски более 35%</t>
  </si>
  <si>
    <t>1.2.19</t>
  </si>
  <si>
    <t>Установка групповых металлических почтовых ящиков на 6 отделений</t>
  </si>
  <si>
    <t>1 ящик</t>
  </si>
  <si>
    <t>1.5</t>
  </si>
  <si>
    <t>Перекрытия</t>
  </si>
  <si>
    <t>1.5.10</t>
  </si>
  <si>
    <t>Заделка  неплотностей вокруг  трубопроводов  отопления и   горячего  водоснабжения, проходящих через  перекрытия</t>
  </si>
  <si>
    <t>100 отверстий</t>
  </si>
  <si>
    <t>1.6</t>
  </si>
  <si>
    <t>Полы</t>
  </si>
  <si>
    <t>1.6.1</t>
  </si>
  <si>
    <t>Устранение  повреждений  полов в  местах  общего  пользования  многоквартирного дома</t>
  </si>
  <si>
    <t>1.6.1.1</t>
  </si>
  <si>
    <t>Заделка выбоин в цементных полах</t>
  </si>
  <si>
    <t>кв.м.</t>
  </si>
  <si>
    <t>1.6.1.2</t>
  </si>
  <si>
    <t>Ремонт дощатых полов</t>
  </si>
  <si>
    <t>100 кв.м.</t>
  </si>
  <si>
    <t>1.6.3</t>
  </si>
  <si>
    <t>Окраска  деревянных  полов</t>
  </si>
  <si>
    <t>1.6.3.1</t>
  </si>
  <si>
    <t>Масляная окраска полов</t>
  </si>
  <si>
    <t>1.6.3.2</t>
  </si>
  <si>
    <t>Масляная окраска плинтусов</t>
  </si>
  <si>
    <t>1.6.4</t>
  </si>
  <si>
    <t>Ремонт полов</t>
  </si>
  <si>
    <t>1.6.4.1</t>
  </si>
  <si>
    <t>Смена досок в полах</t>
  </si>
  <si>
    <t>п.м. доски</t>
  </si>
  <si>
    <t>1.6.4.2</t>
  </si>
  <si>
    <t>Смена поврежденных плинтусов</t>
  </si>
  <si>
    <t>п.м. плинтуса</t>
  </si>
  <si>
    <t>1.6.4.4</t>
  </si>
  <si>
    <t>Ремонт бетонных полов</t>
  </si>
  <si>
    <t>1.8</t>
  </si>
  <si>
    <t>Крыши и кровли</t>
  </si>
  <si>
    <t>1.8.1</t>
  </si>
  <si>
    <t>Устранение протечек кровли</t>
  </si>
  <si>
    <t>1.8.1.1</t>
  </si>
  <si>
    <t>Устранение  протечек кровли из штучных материалов</t>
  </si>
  <si>
    <t>1.8.1.1.1</t>
  </si>
  <si>
    <t>Смена поврежденных листов асбоцементных кровель</t>
  </si>
  <si>
    <t>100 м2 сменяемого покрытия</t>
  </si>
  <si>
    <t>1.8.2</t>
  </si>
  <si>
    <t>Ремонт, модернизация кровли и крыши</t>
  </si>
  <si>
    <t>1.8.2.3</t>
  </si>
  <si>
    <t>Ремонт, модернизация кровли из штучных материалов</t>
  </si>
  <si>
    <t>1.8.2.3.1</t>
  </si>
  <si>
    <t>Ремонт, модернизация кровли из асбоцементных листов</t>
  </si>
  <si>
    <t>1.8.2.3.1.1</t>
  </si>
  <si>
    <t>1.8.2.3.1.4</t>
  </si>
  <si>
    <t>Смена местами обрешетки  крыши  из брусков   (при разобранной крыше)</t>
  </si>
  <si>
    <t>100 м2 обрешетки</t>
  </si>
  <si>
    <t>1.8.2.8</t>
  </si>
  <si>
    <t>Укрепление стропильных ног</t>
  </si>
  <si>
    <t>1 м укрепляемой конструкции</t>
  </si>
  <si>
    <t>1.8.3</t>
  </si>
  <si>
    <t>Восстановление (ремонт) вентиляционных устройств (оборудования)</t>
  </si>
  <si>
    <t>1.8.3.1</t>
  </si>
  <si>
    <t>Смена колпаков вентиляционных труб</t>
  </si>
  <si>
    <t>1.8.3.1.1</t>
  </si>
  <si>
    <t>Смена колпаков вентиляционных труб (при одном канале в трубе)</t>
  </si>
  <si>
    <t>100 колпаков</t>
  </si>
  <si>
    <t>1.8.3.1.2</t>
  </si>
  <si>
    <t>Смена колпаков вентиляционных труб (на каждый доп. 1 канал)</t>
  </si>
  <si>
    <t>на каждый доп. 1 канал на 100 колпаков</t>
  </si>
  <si>
    <t>1.8.7</t>
  </si>
  <si>
    <t>Восстановление (ремонт) дымовых и  вентиляционных труб</t>
  </si>
  <si>
    <t>1.8.7.1</t>
  </si>
  <si>
    <t>Разборка вентиляционных каналов</t>
  </si>
  <si>
    <t>1.8.7.1.1</t>
  </si>
  <si>
    <t>Разборка одинарных вентиляционных каналов</t>
  </si>
  <si>
    <t>100 м2 поверхности канала</t>
  </si>
  <si>
    <t>1.8.7.3</t>
  </si>
  <si>
    <t>Прочистка засоренных вентиляционных каналов</t>
  </si>
  <si>
    <t>10 м канала</t>
  </si>
  <si>
    <t>1.8.7.6</t>
  </si>
  <si>
    <t>Оштукатуривание поверхности дымовых труб</t>
  </si>
  <si>
    <t xml:space="preserve">100 м2 поверхности </t>
  </si>
  <si>
    <t>1.8.9</t>
  </si>
  <si>
    <t>Восстановление (ремонт) выходов на крышу</t>
  </si>
  <si>
    <t>1.8.9.2</t>
  </si>
  <si>
    <t>Окраска деревянных лестниц и  дверей выхода на крышу</t>
  </si>
  <si>
    <t>100 м2 окрашенной поверхности</t>
  </si>
  <si>
    <t>1.8.9.4</t>
  </si>
  <si>
    <t>Ремонт обыкновенной штукатурки гладких каменных фасадов отдельными местами</t>
  </si>
  <si>
    <t>1.8.10</t>
  </si>
  <si>
    <t>Восстановление (ремонт) парапетов, архитектурных деталей и т.д.</t>
  </si>
  <si>
    <t>1.8.10.3</t>
  </si>
  <si>
    <t>Смена покрытия   зонтов и козырьков над крыльцами и подъездами</t>
  </si>
  <si>
    <t>100 м2 объема работ</t>
  </si>
  <si>
    <t>1.8.11</t>
  </si>
  <si>
    <t>Восстановление (ремонт) систем водоотвода</t>
  </si>
  <si>
    <t>1.8.11.1</t>
  </si>
  <si>
    <t>Ремонт водосточных труб с земли и подмостей</t>
  </si>
  <si>
    <t>100 м трубы</t>
  </si>
  <si>
    <t>1.8.11.2</t>
  </si>
  <si>
    <t>Ремонт водосточных труб с люлек</t>
  </si>
  <si>
    <t>1.8.11.3</t>
  </si>
  <si>
    <t>Смена прямых звеньев водосточных труб</t>
  </si>
  <si>
    <t>1.8.11.4</t>
  </si>
  <si>
    <t>Смена воронок</t>
  </si>
  <si>
    <t>1.8.11.5</t>
  </si>
  <si>
    <t>Смена простых колен</t>
  </si>
  <si>
    <t>1.8.11.6</t>
  </si>
  <si>
    <t>Смена простых отливов</t>
  </si>
  <si>
    <t>1.8.11.7</t>
  </si>
  <si>
    <t>Смена карнизных свесов с настенными желобами  из листовой стали (с применением смоляной пакли и битума)</t>
  </si>
  <si>
    <t>100 м карнизных свесов</t>
  </si>
  <si>
    <t>1.8.12</t>
  </si>
  <si>
    <t>Ремонт примыканий и заделка стыков</t>
  </si>
  <si>
    <t>1.8.12.3</t>
  </si>
  <si>
    <t>Смена обделок примыканий из листовой стали к  дымовым трубам</t>
  </si>
  <si>
    <t>100 труб</t>
  </si>
  <si>
    <t>1.8.13</t>
  </si>
  <si>
    <t>Ремонт, утепление дверей с лестничных площадок на чердак</t>
  </si>
  <si>
    <t>1.8.13.1</t>
  </si>
  <si>
    <t>Масляная окраска ранее окрашенных поверхностей</t>
  </si>
  <si>
    <t>1.8.13.2</t>
  </si>
  <si>
    <t>Восстановление тепловой изоляции дверей</t>
  </si>
  <si>
    <t>100 дверей</t>
  </si>
  <si>
    <t>1.8.13.3</t>
  </si>
  <si>
    <t>Замена обивки дверей стальным листом</t>
  </si>
  <si>
    <t>100  м2 двери</t>
  </si>
  <si>
    <t>1.9</t>
  </si>
  <si>
    <t>Оконные и дверные проемы</t>
  </si>
  <si>
    <t>1.9.1</t>
  </si>
  <si>
    <t>Восстановление (ремонт) дверей в помещениях  общего  пользования</t>
  </si>
  <si>
    <t>1.9.1.8</t>
  </si>
  <si>
    <t>Ремонт порогов шириной 100 мм</t>
  </si>
  <si>
    <t>100 отремонтированных мест</t>
  </si>
  <si>
    <t>1.9.1.10</t>
  </si>
  <si>
    <t>Смена дверных петель при одной сменяемой петле в полотне</t>
  </si>
  <si>
    <t>10 петель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</si>
  <si>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</si>
  <si>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</si>
  <si>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</si>
  <si>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</si>
  <si>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</si>
  <si>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</si>
  <si>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1.9.1.19</t>
  </si>
  <si>
    <t>Смена замков накладных</t>
  </si>
  <si>
    <t>100 замков</t>
  </si>
  <si>
    <t>1.9.1.22</t>
  </si>
  <si>
    <t>Простая масляная окраска дверей</t>
  </si>
  <si>
    <t>1.9.1.24</t>
  </si>
  <si>
    <t>Установка дверного доводчика к металлическим дверям</t>
  </si>
  <si>
    <t>1 доводчик</t>
  </si>
  <si>
    <t>1.9.1.25</t>
  </si>
  <si>
    <t>Установка дверного доводчика к дверям из древесины</t>
  </si>
  <si>
    <t>1 прибор</t>
  </si>
  <si>
    <t>1.9.1.26</t>
  </si>
  <si>
    <t>Установка дверей и заслонок в проемах подвальных и чердачных помещений</t>
  </si>
  <si>
    <t>1 полотно</t>
  </si>
  <si>
    <t>1.9.2</t>
  </si>
  <si>
    <t>Восстановление (ремонт)  окон в  помещениях общего  пользования</t>
  </si>
  <si>
    <t>1.9.2.8</t>
  </si>
  <si>
    <t>Ремонт форточек</t>
  </si>
  <si>
    <t>10 форточек</t>
  </si>
  <si>
    <t>1.9.2.9</t>
  </si>
  <si>
    <t>Ремонт подоконных досок</t>
  </si>
  <si>
    <t>1 м подоконной доски</t>
  </si>
  <si>
    <t>1.9.2.10</t>
  </si>
  <si>
    <t>Смена оконных петель при одной сменяемой петле в створке</t>
  </si>
  <si>
    <t>1.9.2.23</t>
  </si>
  <si>
    <t>Смена ручки оконной</t>
  </si>
  <si>
    <t>100 ручек</t>
  </si>
  <si>
    <t>1.9.2.25</t>
  </si>
  <si>
    <t>Простая масляная окраска оконных рам</t>
  </si>
  <si>
    <t>1.9.2.30</t>
  </si>
  <si>
    <t>Замена негодных деревянных жалюзей слуховых окон с изготовлением их</t>
  </si>
  <si>
    <t>1 штука</t>
  </si>
  <si>
    <t>1.9.2.33</t>
  </si>
  <si>
    <t>Остекление оконным стеклом окон в два переплета открывающихся в одну сторону</t>
  </si>
  <si>
    <t>100 м2 площади проемов по наружному обводу коробок</t>
  </si>
  <si>
    <t>1.9.3</t>
  </si>
  <si>
    <t>Замена  дверей в помещениях  общего  пользования</t>
  </si>
  <si>
    <t>1.9.3.1</t>
  </si>
  <si>
    <t>Замена одностворных дверей на врезных шпонках</t>
  </si>
  <si>
    <t>1.9.4</t>
  </si>
  <si>
    <t>Замена окон в помещениях общего пользования</t>
  </si>
  <si>
    <t>1.9.4.3</t>
  </si>
  <si>
    <t>Смена створок оконных переплетов широких составных коробок</t>
  </si>
  <si>
    <t>1 створка</t>
  </si>
  <si>
    <t>1.9.5</t>
  </si>
  <si>
    <t>Утепление дверей в помещениях общего пользования</t>
  </si>
  <si>
    <t>1.9.5.1</t>
  </si>
  <si>
    <t>Обивка дверей теплоизолирующим материалом</t>
  </si>
  <si>
    <t>100 кв.м. двери</t>
  </si>
  <si>
    <t>1.9.5.3</t>
  </si>
  <si>
    <t>Обивка дверей оцинкованной кровельной сталью</t>
  </si>
  <si>
    <t>1.9.6</t>
  </si>
  <si>
    <t>Восстановление (ремонт) дверных и оконных откосов</t>
  </si>
  <si>
    <t>1.9.6.1</t>
  </si>
  <si>
    <t>Восстановление (ремонт) дверных и оконных откосов в каменных стенах</t>
  </si>
  <si>
    <t>1 кв.м. откоса</t>
  </si>
  <si>
    <t>1.10</t>
  </si>
  <si>
    <t>Лестницы</t>
  </si>
  <si>
    <t>1.10.3</t>
  </si>
  <si>
    <t>Ремонт  ограждений,  поручней и  предохранительных  сеток</t>
  </si>
  <si>
    <t>1.10.3.1</t>
  </si>
  <si>
    <t>Ремонт металлических лестничных решеток</t>
  </si>
  <si>
    <t>100 м решетки</t>
  </si>
  <si>
    <t>1.10.3.2</t>
  </si>
  <si>
    <t>Укрепление стоек металлических решеток ограждения  лестниц и площадок</t>
  </si>
  <si>
    <t>100 укрепляемых  стоек</t>
  </si>
  <si>
    <t>1.10.4</t>
  </si>
  <si>
    <t>Ремонт,  замена  перил</t>
  </si>
  <si>
    <t>1.10.4.1</t>
  </si>
  <si>
    <t>Смена отдельных частей поручней</t>
  </si>
  <si>
    <t>1.10.4.1.1</t>
  </si>
  <si>
    <t>Смена прямых  частей поручней</t>
  </si>
  <si>
    <t>100 м</t>
  </si>
  <si>
    <t>1.10.4.2</t>
  </si>
  <si>
    <t>Изготовление прямых частей  поручня</t>
  </si>
  <si>
    <t>1.10.5</t>
  </si>
  <si>
    <t>Окраска  металлических  элементов  лестниц</t>
  </si>
  <si>
    <t>1.10.5.1</t>
  </si>
  <si>
    <t>Окраска масляными составами ранее окрашенных металлических решеток  без рельефа за 1 раз</t>
  </si>
  <si>
    <t xml:space="preserve"> 100 м2 окрашиваемой поверхности</t>
  </si>
  <si>
    <t>1.10.7</t>
  </si>
  <si>
    <t>Прочие работы по ремонту лестниц</t>
  </si>
  <si>
    <t>1.10.7.1</t>
  </si>
  <si>
    <t>Окрашивание масляными составами торцов лестничных маршей и площадок</t>
  </si>
  <si>
    <t>1.10.7.2</t>
  </si>
  <si>
    <t>Окрашивание масляными составами деревянных поручней</t>
  </si>
  <si>
    <t>100  м поручня</t>
  </si>
  <si>
    <t>1.10.7.3</t>
  </si>
  <si>
    <t>Заделка выбоин в каменных ступенях</t>
  </si>
  <si>
    <t>100 м2 заделанной поверхности</t>
  </si>
  <si>
    <t>2.1</t>
  </si>
  <si>
    <t>Система теплоснабжения</t>
  </si>
  <si>
    <t>2.1.2</t>
  </si>
  <si>
    <t>Ремонт,  модернизация внутридомовых отопительных сетей</t>
  </si>
  <si>
    <t>2.1.2.2</t>
  </si>
  <si>
    <t>Смена отдельных участков трубопроводов из стальных электросварных труб</t>
  </si>
  <si>
    <t>2.1.2.2.1</t>
  </si>
  <si>
    <t>Смена отдельных участков трубопроводов из стальных электросварных труб  диаметром 40 мм</t>
  </si>
  <si>
    <t>100 м трубопровода</t>
  </si>
  <si>
    <t>2.1.2.2.2</t>
  </si>
  <si>
    <t>Смена отдельных участков трубопроводов из стальных электросварных труб   диаметром 50 мм</t>
  </si>
  <si>
    <t>2.1.2.2.5</t>
  </si>
  <si>
    <t>Смена отдельных участков трубопроводов из стальных электросварных труб диаметром 100 мм</t>
  </si>
  <si>
    <t>2.1.3</t>
  </si>
  <si>
    <t>Ремонт,  промывка  отопительных  элементов</t>
  </si>
  <si>
    <t>2.1.3.1</t>
  </si>
  <si>
    <t>Смена радиаторных блоков</t>
  </si>
  <si>
    <t>2.1.3.1.2</t>
  </si>
  <si>
    <t>Смена радиаторных блоков, вес радиаторного блока до 80 кг</t>
  </si>
  <si>
    <t>100 радиаторных блоков</t>
  </si>
  <si>
    <t>2.1.3.5</t>
  </si>
  <si>
    <t>Прочистка и промывка отопительных приборов</t>
  </si>
  <si>
    <t>2.1.3.5.1</t>
  </si>
  <si>
    <t>Прочистка и промывка отопительных приборов радиаторов весом до 80 кг внутри здания</t>
  </si>
  <si>
    <t>100 приборов</t>
  </si>
  <si>
    <t>2.1.5</t>
  </si>
  <si>
    <t>Восстановление теплоизоляции  систем  теплоснабжения</t>
  </si>
  <si>
    <t>2.1.5.3</t>
  </si>
  <si>
    <t>Восстановление разрушенной тепловой изоляции</t>
  </si>
  <si>
    <t>2.1.5.3.3</t>
  </si>
  <si>
    <t>Восстановление разрушенной тепловой изоляции минераловатными матами</t>
  </si>
  <si>
    <t>100 м2 восстановленного участка</t>
  </si>
  <si>
    <t>2.1.6</t>
  </si>
  <si>
    <t>Ремонт или  замена  неисправных  приборов  учета и  регулирования</t>
  </si>
  <si>
    <t>2.1.6.1</t>
  </si>
  <si>
    <t>Ремонт прибора учета</t>
  </si>
  <si>
    <t>прибор</t>
  </si>
  <si>
    <t>2.1.6.2</t>
  </si>
  <si>
    <t>Замена прибора учета</t>
  </si>
  <si>
    <t>2.1.8</t>
  </si>
  <si>
    <t>Ремонт  насосов,  магистральной запорной арматуры,  автоматических устройств</t>
  </si>
  <si>
    <t>2.1.8.4</t>
  </si>
  <si>
    <t>Смена параллельной задвижки</t>
  </si>
  <si>
    <t>2.1.8.4.1</t>
  </si>
  <si>
    <t>Смена параллельной задвижки,  диаметром до 100 мм</t>
  </si>
  <si>
    <t>100 задвижек</t>
  </si>
  <si>
    <t>2.1.8.5</t>
  </si>
  <si>
    <t>Снятие, прочистка и установка параллельной задвижки</t>
  </si>
  <si>
    <t>2.1.8.5.1</t>
  </si>
  <si>
    <t>Снятие, прочистка и установка параллельной задвижки диаметром  100 мм</t>
  </si>
  <si>
    <t>2.1.8.8</t>
  </si>
  <si>
    <t>Смена вентиля</t>
  </si>
  <si>
    <t>2.1.8.8.1</t>
  </si>
  <si>
    <t>Смена вентиля диаметром до 25 мм</t>
  </si>
  <si>
    <t>100 вентилей</t>
  </si>
  <si>
    <t>2.1.8.8.3</t>
  </si>
  <si>
    <t>Смена вентиля диаметром свыше 26 до 50  мм</t>
  </si>
  <si>
    <t>2.1.8.9</t>
  </si>
  <si>
    <t>Установка кранов для спуска воздуха из системы</t>
  </si>
  <si>
    <t>2.1.8.9.1</t>
  </si>
  <si>
    <t>Установка кранов для спуска воздуха из системы, диаметр крана 15-20 мм</t>
  </si>
  <si>
    <t>100 кранов</t>
  </si>
  <si>
    <t>2.2</t>
  </si>
  <si>
    <t>Системы холодного и горячего водоснабжения</t>
  </si>
  <si>
    <t>2.2.1</t>
  </si>
  <si>
    <t>Ремонт,  замена  внутридомовых сетей водоснабжения</t>
  </si>
  <si>
    <t>2.2.1.2</t>
  </si>
  <si>
    <t>Смена отдельных участков трубопроводов  водоснабжения из стальных водогазопроводных оцинкованных труб при соединении труб  на сварке</t>
  </si>
  <si>
    <t>2.2.1.2.1</t>
  </si>
  <si>
    <t>Смена отдельных участков трубопроводов водоснабжения из стальных водогазопроводных оцинкованных труб диаметром 40 мм</t>
  </si>
  <si>
    <t>100 м трубопроводов</t>
  </si>
  <si>
    <t>2.2.1.2.2</t>
  </si>
  <si>
    <t>Смена отдельных участков трубопроводов  водоснабжения из стальных водогазопроводных оцинкованных труб диаметром 50 мм</t>
  </si>
  <si>
    <t>2.2.1.3</t>
  </si>
  <si>
    <t>Смена отдельных участков трубопроводов  водоснабжения из стальных электросварных труб</t>
  </si>
  <si>
    <t>2.2.1.3.1</t>
  </si>
  <si>
    <t>Смена отдельных участков трубопроводов  водоснабжения из стальных электросварных труб диаметром 40 мм</t>
  </si>
  <si>
    <t>2.2.1.6</t>
  </si>
  <si>
    <t>Временная заделка свищей и трещин на внутренних трубопроводах и стояках</t>
  </si>
  <si>
    <t>2.2.1.6.1</t>
  </si>
  <si>
    <t>Временная заделка свищей и трещин на внутренних трубопроводах и стояках при диаметре трубопровода до 50 мм</t>
  </si>
  <si>
    <t>100 мест</t>
  </si>
  <si>
    <t>2.2.1.7</t>
  </si>
  <si>
    <t>Смена сгонов у трубопроводов</t>
  </si>
  <si>
    <t>2.2.1.7.1</t>
  </si>
  <si>
    <t>Смена сгонов у трубопроводов диаметром до 20 мм</t>
  </si>
  <si>
    <t>100 сгонов</t>
  </si>
  <si>
    <t>2.2.1.8</t>
  </si>
  <si>
    <t>Уплотнение сгонов</t>
  </si>
  <si>
    <t>2.2.1.8.1</t>
  </si>
  <si>
    <t>Уплотнение сгонов с применением льняной пряди или асбестового шнура (без разборки сгонов) диаметром до 20 мм</t>
  </si>
  <si>
    <t>1 сгон</t>
  </si>
  <si>
    <t>2.2.2</t>
  </si>
  <si>
    <t>Ремонт, замена, проверка приборов учета воды</t>
  </si>
  <si>
    <t>2.2.2.1</t>
  </si>
  <si>
    <t>Ремонт приборов учета воды</t>
  </si>
  <si>
    <t>2.2.2.1.2</t>
  </si>
  <si>
    <t>Ремонт приборов учета воды условным диаметром 25-40 мм</t>
  </si>
  <si>
    <t>Счетчик воды</t>
  </si>
  <si>
    <t>2.2.2.1.4</t>
  </si>
  <si>
    <t>Замена термопреобразователя</t>
  </si>
  <si>
    <t>1 преобразователь</t>
  </si>
  <si>
    <t>2.2.2.1.5</t>
  </si>
  <si>
    <t xml:space="preserve">Замена преобразователя давления </t>
  </si>
  <si>
    <t>2.2.2.1.6</t>
  </si>
  <si>
    <t>Обслуживание преобразователя давления</t>
  </si>
  <si>
    <t>1  преобразователь давления</t>
  </si>
  <si>
    <t>2.2.2.1.7</t>
  </si>
  <si>
    <t>Обслуживание термопреобразователя</t>
  </si>
  <si>
    <t>1  термопреобразователь</t>
  </si>
  <si>
    <t>2.2.2.1.8</t>
  </si>
  <si>
    <t>Обслуживание преобразователя расхода до 50 мм</t>
  </si>
  <si>
    <t>1 преобразователь расхода</t>
  </si>
  <si>
    <t>2.2.2.2</t>
  </si>
  <si>
    <t>Замена прибора учета воды</t>
  </si>
  <si>
    <t>2.2.2.2.1</t>
  </si>
  <si>
    <t>Замена прибора учета воды с фильтром</t>
  </si>
  <si>
    <t>2.2.4</t>
  </si>
  <si>
    <t>Теплоизоляция сетей  горячего  водоснабжения</t>
  </si>
  <si>
    <t>100 м2 утепленного участка</t>
  </si>
  <si>
    <t>2.2.5</t>
  </si>
  <si>
    <t>Окраска  сетей и  устройств  горячего  водоснабжения</t>
  </si>
  <si>
    <t>2.2.5.1</t>
  </si>
  <si>
    <t>Окраска масляными составами ранее окрашенных поверхностей стальных труб</t>
  </si>
  <si>
    <t>2.2.5.1.1</t>
  </si>
  <si>
    <t>Окраска масляными составами ранее окрашенных поверхностей  стальных труб горячего водоснабжения за 1 раз</t>
  </si>
  <si>
    <t>2.2.6</t>
  </si>
  <si>
    <t>Ремонт оборудования, приборов и арматуры водопроводной сети общего пользования</t>
  </si>
  <si>
    <t>2.2.6.4</t>
  </si>
  <si>
    <t>Смена задвижек диаметром до 50 мм</t>
  </si>
  <si>
    <t>2.3</t>
  </si>
  <si>
    <t>Система водоотведения</t>
  </si>
  <si>
    <t>2.3.1</t>
  </si>
  <si>
    <t>Смена отдельных участков трубопроводов канализации из полиэтиленовых труб высокой плотности</t>
  </si>
  <si>
    <t>2.3.1.2</t>
  </si>
  <si>
    <t>Смена горизонтальных участков трубопроводов канализации из полиэтиленовых труб высокой плотности диаметром 100 мм</t>
  </si>
  <si>
    <t>2.3.1.4</t>
  </si>
  <si>
    <t>Смена вертикальных участков трубопроводов канализации из полиэтиленовых труб высокой плотности диаметром 100 мм</t>
  </si>
  <si>
    <t>2.3.2</t>
  </si>
  <si>
    <t>Смена отдельных участков внутренних чугунных канализационных труб и выпусков</t>
  </si>
  <si>
    <t>2.3.2.2</t>
  </si>
  <si>
    <t>Смена отдельных участков чугунных труб и  внутренних чугунных канализационных выпусков при диаметре канализационного выпуска 100 мм</t>
  </si>
  <si>
    <t>2.3.3</t>
  </si>
  <si>
    <t>Подчеканка раструбов канализационных труб</t>
  </si>
  <si>
    <t>2.3.3.3</t>
  </si>
  <si>
    <t>Подчеканка раструбов чугунных канализационных труб</t>
  </si>
  <si>
    <t>2.3.3.3.3</t>
  </si>
  <si>
    <t>Подчеканка раструбов  чугунных  канализационных труб диаметром до 100 мм</t>
  </si>
  <si>
    <t>100  раструбов</t>
  </si>
  <si>
    <t>2.3.10</t>
  </si>
  <si>
    <t>Прокладка внутренних трубопроводов канализации из полипропиленовых труб</t>
  </si>
  <si>
    <t>2.3.10.2</t>
  </si>
  <si>
    <t>Прокладка внутренних трубопроводов канализации из полипропиленовых труб диаметром 110 мм</t>
  </si>
  <si>
    <t>2.5</t>
  </si>
  <si>
    <t>Внутридомовое электро-, радио- и телеоборудование</t>
  </si>
  <si>
    <t>2.5.1</t>
  </si>
  <si>
    <t>Ремонт,  замена  шкафов  вводных и  вводно-распределительных устройств</t>
  </si>
  <si>
    <t>2.5.1.1</t>
  </si>
  <si>
    <t>Замена пакетных переключателей вводно-распределительных устройств и шкафов</t>
  </si>
  <si>
    <t>1 переключатель</t>
  </si>
  <si>
    <t>2.5.1.2</t>
  </si>
  <si>
    <t>Замена автоматического выключателя</t>
  </si>
  <si>
    <t>1 автоматический выключатель</t>
  </si>
  <si>
    <t>2.5.1.4</t>
  </si>
  <si>
    <t>Замена предохранителя</t>
  </si>
  <si>
    <t>1 предохранитель</t>
  </si>
  <si>
    <t>2.5.1.5</t>
  </si>
  <si>
    <t>Замена рубильника</t>
  </si>
  <si>
    <t>1 рубильник</t>
  </si>
  <si>
    <t>2.5.1.11</t>
  </si>
  <si>
    <t>Замена шкафов и ВРУ</t>
  </si>
  <si>
    <t>1 шкаф</t>
  </si>
  <si>
    <t>2.5.4</t>
  </si>
  <si>
    <t>Ремонт, замена  внутридомовых электрических сетей</t>
  </si>
  <si>
    <t>1000 пог.м.</t>
  </si>
  <si>
    <t>2.5.5</t>
  </si>
  <si>
    <t>Ремонт, замена этажных  щитков и  шкафов</t>
  </si>
  <si>
    <t>2.5.5.2</t>
  </si>
  <si>
    <t>Ремонт щитков</t>
  </si>
  <si>
    <t>1 щит</t>
  </si>
  <si>
    <t>2.5.6</t>
  </si>
  <si>
    <t>Ремонт,  замена  приборов  учета и регулирования общего   пользования</t>
  </si>
  <si>
    <t>2.5.6.5</t>
  </si>
  <si>
    <t>Установка или снятие трехфазного счетчика электроэнергии, включенного через измерительные трансформаторы тока</t>
  </si>
  <si>
    <t>1 счетчик</t>
  </si>
  <si>
    <t>2.5.6.7</t>
  </si>
  <si>
    <t>Замена трехфазного счетчика (прибора учета) электрической энергии, включенного через измерительные трансформаторы тока</t>
  </si>
  <si>
    <t>2.5.6.9</t>
  </si>
  <si>
    <t>Обслуживание трехфазных счетчиков электроэнергии</t>
  </si>
  <si>
    <t>100 счетчиков</t>
  </si>
  <si>
    <t>2.5.7</t>
  </si>
  <si>
    <t>Ремонт,  замена  осветительных установок  помещений   общего  пользования</t>
  </si>
  <si>
    <t>2.5.7.6</t>
  </si>
  <si>
    <t>Замена лампы накаливания на энергосберегательную</t>
  </si>
  <si>
    <t>1 лампа</t>
  </si>
  <si>
    <t>2.5.7.8</t>
  </si>
  <si>
    <t>Замена светильника на светильник светодиодный с датчиком движения</t>
  </si>
  <si>
    <t>1 светильник</t>
  </si>
  <si>
    <t>2.6</t>
  </si>
  <si>
    <t>Подготовка многоквартирного дома к сезонной эксплуатации, проведение технических осмотров</t>
  </si>
  <si>
    <t>2.6.3</t>
  </si>
  <si>
    <t>Замена разбитых стекол окон и дверей в помещениях общего пользования</t>
  </si>
  <si>
    <t>2.6.3.5</t>
  </si>
  <si>
    <t>Смена стекол на штапиках без замазки</t>
  </si>
  <si>
    <t>100 м фальца</t>
  </si>
  <si>
    <t>2.6.5</t>
  </si>
  <si>
    <t>Утепление и прочистка дымовентиляционных каналов</t>
  </si>
  <si>
    <t>1000 кв.м. общей площади</t>
  </si>
  <si>
    <t>2.6.6</t>
  </si>
  <si>
    <t>Проверка состояния и ремонт продухов в цоколях зданий</t>
  </si>
  <si>
    <t>2.6.6.1</t>
  </si>
  <si>
    <t>Оштукатуривание продухов</t>
  </si>
  <si>
    <t xml:space="preserve">  1 м2 ремонтируемой поверхности</t>
  </si>
  <si>
    <t>2.6.11</t>
  </si>
  <si>
    <t>Проведение технических осмотров и устранение незначительных неисправностей в  системах водоснабжения и  водоотведения</t>
  </si>
  <si>
    <t>2.6.11.1</t>
  </si>
  <si>
    <t>Осмотр водопровода, канализации и горячего водоснабжения</t>
  </si>
  <si>
    <t>100 квартир</t>
  </si>
  <si>
    <t>2.6.11.3</t>
  </si>
  <si>
    <t>Прочистка канализационного лежака</t>
  </si>
  <si>
    <t>100 м канализационного лежака</t>
  </si>
  <si>
    <t>2.6.11.4</t>
  </si>
  <si>
    <t>Проверка исправности  канализационных  вытяжек</t>
  </si>
  <si>
    <t>2.6.12</t>
  </si>
  <si>
    <t>Проведение технических осмотров и устранение незначительных неисправностей в  системах вентиляции</t>
  </si>
  <si>
    <t>2.6.12.1</t>
  </si>
  <si>
    <t>Проверка наличия тяги в  дымовентиляционных каналах</t>
  </si>
  <si>
    <t>2.6.12.2</t>
  </si>
  <si>
    <t>Проведение технических осмотров и устранение незначительных неисправностей в системе вентиляции</t>
  </si>
  <si>
    <t>2.6.13</t>
  </si>
  <si>
    <t>Проведение технических осмотров и устранение незначительных неисправностей в   электротехнических устройствах</t>
  </si>
  <si>
    <t>2.6.13.1</t>
  </si>
  <si>
    <t>Осмотр  электросети, арматуры, электрооборудования на лестничных клетках</t>
  </si>
  <si>
    <t>100 лестничных площадок</t>
  </si>
  <si>
    <t>2.6.13.3</t>
  </si>
  <si>
    <t>Проверка изоляции электропроводки и ее укрепление</t>
  </si>
  <si>
    <t>2.6.13.5</t>
  </si>
  <si>
    <t>Замеры сопротивления изоляции проводов</t>
  </si>
  <si>
    <t xml:space="preserve">измерение 1         </t>
  </si>
  <si>
    <t>2.6.14</t>
  </si>
  <si>
    <t>Проведение технических осмотров и устранение незначительных неисправностей в  системе   теплоснабжения</t>
  </si>
  <si>
    <t>2.6.14.1</t>
  </si>
  <si>
    <t>Осмотр системы центрального отопления</t>
  </si>
  <si>
    <t>2.6.14.1.1</t>
  </si>
  <si>
    <t>Осмотр внутриквартирных устройств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</si>
  <si>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</si>
  <si>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</si>
  <si>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</si>
  <si>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</si>
  <si>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</si>
  <si>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</si>
  <si>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</t>
  </si>
  <si>
    <t>Гидравлическое испытание трубопроводов систем центрального отопления (расконсервация)</t>
  </si>
  <si>
    <t>2.6.14.3.5</t>
  </si>
  <si>
    <t>Рабочая проверка системы в целом при диаметре трубопровода до 100 мм</t>
  </si>
  <si>
    <t>2.6.14.3.10</t>
  </si>
  <si>
    <t>Проверка на прогрев отопительных приборов с регулировкой</t>
  </si>
  <si>
    <t>2.6.14.4</t>
  </si>
  <si>
    <t>Промывка трубопроводов системы центрального отопления</t>
  </si>
  <si>
    <t>2.6.14.4.1</t>
  </si>
  <si>
    <t>Промывка трубопроводов системы центрального отопления до 50 мм</t>
  </si>
  <si>
    <t>10 м трубопровода (100 м3 здания)</t>
  </si>
  <si>
    <t>2.6.14.5</t>
  </si>
  <si>
    <t>Устранение незначительных неисправностей в  системе   теплоснабжения</t>
  </si>
  <si>
    <t>2.6.14.5.1</t>
  </si>
  <si>
    <t>Притирка запорной арматуры без снятия с места</t>
  </si>
  <si>
    <t>2.6.14.5.1.4</t>
  </si>
  <si>
    <t>Притирка клапана вентиля диаметром до 25 мм без снятия с места</t>
  </si>
  <si>
    <t>2.6.14.5.1.5</t>
  </si>
  <si>
    <t>Притирка клапана вентиля диаметром 26-32 мм без снятия с места</t>
  </si>
  <si>
    <t>2.6.14.5.3</t>
  </si>
  <si>
    <t>Вывертывание и ввертывание радиаторной пробки</t>
  </si>
  <si>
    <t>100 пробок</t>
  </si>
  <si>
    <t>2.6.14.5.5</t>
  </si>
  <si>
    <t>Ликвидация воздушных пробок в системе отопления</t>
  </si>
  <si>
    <t>2.6.14.5.5.1</t>
  </si>
  <si>
    <t>Ликвидация воздушных пробок в стояке системы отопления</t>
  </si>
  <si>
    <t>100 стояков</t>
  </si>
  <si>
    <t>2.6.14.5.5.2</t>
  </si>
  <si>
    <t>Ликвидация воздушных пробок в радиаторном блоке</t>
  </si>
  <si>
    <t>2.6.14.5.7</t>
  </si>
  <si>
    <t>Мелкий ремонт изоляции</t>
  </si>
  <si>
    <t>2.6.14.5.7.2</t>
  </si>
  <si>
    <t>Мелкий ремонт изоляции трубопроводов при диаметре 75 мм</t>
  </si>
  <si>
    <t>2.6.15</t>
  </si>
  <si>
    <t>Проверка и ремонт коллективных приборов  учета</t>
  </si>
  <si>
    <t>2.6.15.1</t>
  </si>
  <si>
    <t>Проверка и обслуживание приборов учета воды диаметром 25-40 мм</t>
  </si>
  <si>
    <t>2.6.15.1.1</t>
  </si>
  <si>
    <t>Визуальный осмотр узла учета и проверка наличия и нарушения пломб (прибор учета воды диаметром 25-40 мм)</t>
  </si>
  <si>
    <t>1 прибор учета</t>
  </si>
  <si>
    <t>2.6.15.1.2</t>
  </si>
  <si>
    <t>Снятие и запись показаний с вычислителя в журнал (прибор учета воды диаметром 25-40 мм)</t>
  </si>
  <si>
    <t>2.6.15.1.4</t>
  </si>
  <si>
    <t>Проверка работоспособности запорной арматуры и очистка фильтров (приборов учета воды диаметром 25-40 мм)</t>
  </si>
  <si>
    <t>1 фильтр</t>
  </si>
  <si>
    <t>2.6.15.1.6</t>
  </si>
  <si>
    <t>Запуск воды с общего вентиля к счетчику (приборов учета воды диаметром 25-40 мм)</t>
  </si>
  <si>
    <t>2.6.15.1.8</t>
  </si>
  <si>
    <t>Проверка работоспособности водозапорной арматуры приборов учета воды диаметром 25-40 мм</t>
  </si>
  <si>
    <t>2.6.15.4</t>
  </si>
  <si>
    <t>Проверка и обслуживание коллективных узлов учета тепловой энергии диаметром 50-250 мм</t>
  </si>
  <si>
    <t>2.6.15.4.1</t>
  </si>
  <si>
    <t>Визуальный осмотр и проверка наличия и нарушения пломб (узел учета тепловой энергии диаметром 50-250 мм)</t>
  </si>
  <si>
    <t>1 узел учета</t>
  </si>
  <si>
    <t>2.6.15.4.2</t>
  </si>
  <si>
    <t>Снятие и запись показаний с вычислителя в журнал (узел учета тепловой энергии диаметром 50-250 мм)</t>
  </si>
  <si>
    <t>2.6.15.4.4</t>
  </si>
  <si>
    <t>Проверка работоспособности запорной арматуры и очистка фильтра (узел учета тепловой энергии диаметром 50-250 мм)</t>
  </si>
  <si>
    <t>2.6.15.4.6</t>
  </si>
  <si>
    <t>Запуск воды с общего вентиля к счетчику (узел учета тепловой энергии диаметром 50-250 мм)</t>
  </si>
  <si>
    <t>2.6.15.4.7</t>
  </si>
  <si>
    <t>При отказе или неисправной работе теплосчетчика - поиск неисправностей (узел учета тепловой энергии диаметром 50-250 мм)</t>
  </si>
  <si>
    <t>2.6.15.4.8</t>
  </si>
  <si>
    <t>Выборочная метрологическая поверка теплосчетчиков</t>
  </si>
  <si>
    <t>2.6.15.4.8.1</t>
  </si>
  <si>
    <t>Проверка работоспособности водозапорной арматуры (выборочная метрологическая поверка теплосчетчиков диаметром 50-250 мм)</t>
  </si>
  <si>
    <t>2.6.15.4.8.2</t>
  </si>
  <si>
    <t>Профилактические работы (выборочная метрологическая поверка теплосчетчиков диаметром 50-250 мм)</t>
  </si>
  <si>
    <t>2.6.15.4.8.4</t>
  </si>
  <si>
    <t>Съем данных с тепловычислителя с помощью переносного компьютера, адаптера (выборочная метрологическая поверка теплосчетчиков диаметром 50-250 мм)</t>
  </si>
  <si>
    <t>2.6.15.4.8.5</t>
  </si>
  <si>
    <t>Обсчет данных, оформление справок, распечатка архивов данных (выборочная метрологическая поверка теплосчетчиков диаметром 50-250 мм)</t>
  </si>
  <si>
    <t>2.6.15.5</t>
  </si>
  <si>
    <t>Установка и снятие (монтаж, демонтаж) прибора учета тепловой энергии</t>
  </si>
  <si>
    <t>2.6.15.5.1</t>
  </si>
  <si>
    <t>Снятие (демонтаж) прибора учета тепловой энергии, диаметром до 50 мм</t>
  </si>
  <si>
    <t>2.6.15.5.2</t>
  </si>
  <si>
    <t>Установка (монтаж) прибора учета тепловой энергии, диаметром до 50 мм</t>
  </si>
  <si>
    <t>2.7</t>
  </si>
  <si>
    <t>Устранение аварии и выполнение заявок населения</t>
  </si>
  <si>
    <t>2.7.1</t>
  </si>
  <si>
    <t>Устранение аварии на внутридомовых инженерных сетях и выполнение заявок населения (в домах, оборудованных газовыми плитами)</t>
  </si>
  <si>
    <t>2.7.1.3</t>
  </si>
  <si>
    <t>Устранение аварии на внутридомовых инженерных сетях при сроке эксплуатации многоквартирного дома от 31 до 50 лет</t>
  </si>
  <si>
    <t>1000 м2  общей площади жилых помещений, оборудованных газовыми плитами (в год для одной смены)</t>
  </si>
  <si>
    <t>3.1</t>
  </si>
  <si>
    <t>Работы по санитарному содержанию помещений общего пользования, системы мусороудаления и фасадов</t>
  </si>
  <si>
    <t>3.1.1</t>
  </si>
  <si>
    <t>Подметание и мытье полов во всех помещениях  общего пользования, кабинах лифта и их влажная уборка</t>
  </si>
  <si>
    <t>3.1.1.1</t>
  </si>
  <si>
    <t>Подметание и влажная уборка полов во всех помещениях  общего пользования в многоквартирном доме без лифтов и мусоропровода</t>
  </si>
  <si>
    <t>3.1.1.1.1</t>
  </si>
  <si>
    <t>Подметание лестничных площадок и маршей</t>
  </si>
  <si>
    <t>3.1.1.1.1.1</t>
  </si>
  <si>
    <t>Подметание лестничных площадок и маршей нижних трех этажей с предварительным их увлажнением (в доме без лифтов и мусоропровода)</t>
  </si>
  <si>
    <t>100 м2 убираемой  площади</t>
  </si>
  <si>
    <t>3.1.1.1.1.2</t>
  </si>
  <si>
    <t>Подметание лестничных площадок и маршей выше третьего этажа с предварительным их увлажнением (в доме без лифтов и мусоропровода)</t>
  </si>
  <si>
    <t>100 м2  убираемой  площади</t>
  </si>
  <si>
    <t>3.1.1.1.2</t>
  </si>
  <si>
    <t>Мытье лестничных площадок и маршей</t>
  </si>
  <si>
    <t>3.1.1.1.2.1</t>
  </si>
  <si>
    <t>Мытье  лестничных площадок и маршей нижних трех этажей (в доме без лифтов и мусоропровода)</t>
  </si>
  <si>
    <t>3.1.1.1.2.2</t>
  </si>
  <si>
    <t>Мытье  лестничных площадок и маршей  выше третьего этажа (в доме без лифтов и мусоропровода)</t>
  </si>
  <si>
    <t>3.1.3</t>
  </si>
  <si>
    <t>Протирка пыли  с колпаков  светильников, подоконников в помещениях общего  пользования</t>
  </si>
  <si>
    <t>3.1.3.1</t>
  </si>
  <si>
    <t>Протирка пыли  с колпаков  светильников (в подвалах, на чердаках и лестничных клетках)</t>
  </si>
  <si>
    <t>3.1.3.2</t>
  </si>
  <si>
    <t>Протирка пыли  с подоконников в помещениях общего  пользования</t>
  </si>
  <si>
    <t xml:space="preserve">100 м2 подоконников </t>
  </si>
  <si>
    <t>3.1.4</t>
  </si>
  <si>
    <t>Мытье и протирка дверей и окон в помещениях общего пользования, включая двери  мусорных камер</t>
  </si>
  <si>
    <t>3.1.4.1</t>
  </si>
  <si>
    <t>Мытье и протирка дверей  в помещениях общего пользования</t>
  </si>
  <si>
    <t>100 м2 дверей</t>
  </si>
  <si>
    <t>3.1.4.2</t>
  </si>
  <si>
    <t>Мытье и протирка оконных рам и переплетов в помещениях общего пользования</t>
  </si>
  <si>
    <t>100 м2 оконных рам</t>
  </si>
  <si>
    <t>3.1.4.3</t>
  </si>
  <si>
    <t>Мытье и протирка легкодоступных стекол в окнах  в помещениях общего пользования</t>
  </si>
  <si>
    <t>100 м2 окон</t>
  </si>
  <si>
    <t>3.1.5</t>
  </si>
  <si>
    <t>Уборка чердачного  и подвального помещений</t>
  </si>
  <si>
    <t>3.1.5.2</t>
  </si>
  <si>
    <t>Уборка и транспортировка мусора в установленное место</t>
  </si>
  <si>
    <t>3.1.5.2.1</t>
  </si>
  <si>
    <t>Уборка мусора и транспортировкой мусора до 50 м</t>
  </si>
  <si>
    <t>1 м3  мусора</t>
  </si>
  <si>
    <t>3.1.5.3</t>
  </si>
  <si>
    <t>Очистка чердаков  и подвалов от строительного мусора</t>
  </si>
  <si>
    <t>100 кг строительного мусора</t>
  </si>
  <si>
    <t>3.1.9</t>
  </si>
  <si>
    <t>Влажная протирка элементов лестничных клеток</t>
  </si>
  <si>
    <t>3.1.9.1</t>
  </si>
  <si>
    <t>Влажная протирка почтовых ящиков (с моющим средством)</t>
  </si>
  <si>
    <t>100 кв.м почтовых ящиков</t>
  </si>
  <si>
    <t>3.1.9.3</t>
  </si>
  <si>
    <t>Влажная протирка оконных решеток  (с моющим средством)</t>
  </si>
  <si>
    <t>100 кв.м решеток</t>
  </si>
  <si>
    <t>3.1.9.5</t>
  </si>
  <si>
    <t>Влажная протирка шкафов для электросчетчиков слаботочных устройств  (с моющим средством)</t>
  </si>
  <si>
    <t>100 кв. м шкафов для электросчетчиков слаботочных устройств</t>
  </si>
  <si>
    <t>3.1.9.7</t>
  </si>
  <si>
    <t>Влажная протирка перил лестниц (с моющим средством)</t>
  </si>
  <si>
    <t>100 кв.м. перил лестниц</t>
  </si>
  <si>
    <t>3.1.9.10</t>
  </si>
  <si>
    <t>Влажная протирка стен (с моющим средством)</t>
  </si>
  <si>
    <t>100 кв. м стен</t>
  </si>
  <si>
    <t>3.1.9.11</t>
  </si>
  <si>
    <t>Влажная протирка отопительных приборов (моющим средством)</t>
  </si>
  <si>
    <t>100 кв. м отопительных приборов</t>
  </si>
  <si>
    <t>3.1.11</t>
  </si>
  <si>
    <t>Обметание пыли с потолков</t>
  </si>
  <si>
    <t>100 кв. м. потолков</t>
  </si>
  <si>
    <t>3.2</t>
  </si>
  <si>
    <t>Уборка земельного участка, входящего в состав общего имущества многоквартирного дома</t>
  </si>
  <si>
    <t>3.2.1</t>
  </si>
  <si>
    <t>Подметание  земельного  участка в летний период</t>
  </si>
  <si>
    <t>3.2.1.2</t>
  </si>
  <si>
    <t>Подметание в летний период  земельного участка с усовершенствованным покрытием 2 класса</t>
  </si>
  <si>
    <t>1 000 кв.м. территории</t>
  </si>
  <si>
    <t>3.2.3</t>
  </si>
  <si>
    <t>Уборка и уход за газонами, очистка  урн</t>
  </si>
  <si>
    <t>3.2.3.1</t>
  </si>
  <si>
    <t>Уборка и уход за газонами</t>
  </si>
  <si>
    <t>3.2.3.1.1</t>
  </si>
  <si>
    <t>Уборка газонов средней засоренности от листьев, сучьев, мусора</t>
  </si>
  <si>
    <t>100 000 кв.м. территории</t>
  </si>
  <si>
    <t>3.2.3.1.3</t>
  </si>
  <si>
    <t>Уборка газонов от случайного мусора</t>
  </si>
  <si>
    <t>100 000 м2</t>
  </si>
  <si>
    <t>3.2.3.1.5</t>
  </si>
  <si>
    <t>Стрижка газонов</t>
  </si>
  <si>
    <t>на 100 кв.м.</t>
  </si>
  <si>
    <t>3.2.3.2</t>
  </si>
  <si>
    <t>Содержание урн</t>
  </si>
  <si>
    <t>3.2.3.2.10</t>
  </si>
  <si>
    <t>Очистка опрокидывающихся урн от мусора</t>
  </si>
  <si>
    <t>на 100 урн</t>
  </si>
  <si>
    <t>3.2.4</t>
  </si>
  <si>
    <t>Подрезка деревьев и кустов</t>
  </si>
  <si>
    <t>3.2.4.1</t>
  </si>
  <si>
    <t>Формовочная обрезка деревьев высотой более 5 м</t>
  </si>
  <si>
    <t>100 деревьев</t>
  </si>
  <si>
    <t>3.2.4.4</t>
  </si>
  <si>
    <t>Формирование кроны кустарников</t>
  </si>
  <si>
    <t>1000 кустов</t>
  </si>
  <si>
    <t>3.2.5</t>
  </si>
  <si>
    <t>Очистка и текущий ремонт детских и спортивных  площадок, элементов  благоустройства</t>
  </si>
  <si>
    <t>3.2.5.2</t>
  </si>
  <si>
    <t>Окраска</t>
  </si>
  <si>
    <t>3.2.5.2.1</t>
  </si>
  <si>
    <t>Окраска скамьи без спинки с металлическими опорами</t>
  </si>
  <si>
    <t>скамья</t>
  </si>
  <si>
    <t>3.2.5.2.6</t>
  </si>
  <si>
    <t>Окраска поверхности песочницы</t>
  </si>
  <si>
    <t>песочница</t>
  </si>
  <si>
    <t>3.2.5.2.12</t>
  </si>
  <si>
    <t>Окраска металлических ограждений спортивных площадок</t>
  </si>
  <si>
    <t xml:space="preserve">пог.м. </t>
  </si>
  <si>
    <t>3.2.5.3</t>
  </si>
  <si>
    <t>Ремонт</t>
  </si>
  <si>
    <t>3.2.5.3.1</t>
  </si>
  <si>
    <t>Ремонт скамьи без спинки с металлическими опорами</t>
  </si>
  <si>
    <t>3.2.5.3.5</t>
  </si>
  <si>
    <t>Ремонт песочницы</t>
  </si>
  <si>
    <t>3.2.5.3.11</t>
  </si>
  <si>
    <t>Ремонт металлических ограждений спортивных площадок</t>
  </si>
  <si>
    <t>пог.м заменяемого участка</t>
  </si>
  <si>
    <t>3.2.5.4</t>
  </si>
  <si>
    <t>Заполнение песочницы песком</t>
  </si>
  <si>
    <t>3.2.6</t>
  </si>
  <si>
    <t>Сдвижка и  подметание  снега при отсутствии снегопадов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</si>
  <si>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</si>
  <si>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</si>
  <si>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10 000 кв.м. территории</t>
  </si>
  <si>
    <t>3.2.7</t>
  </si>
  <si>
    <t>Сдвижка и  подметание снега  при снегопаде</t>
  </si>
  <si>
    <t>3.2.7.2</t>
  </si>
  <si>
    <t>Сдвижка и подметание снега при снегопаде на придомовой территории с усовершенствованным покрытием 2 класса</t>
  </si>
  <si>
    <t>3.2.8</t>
  </si>
  <si>
    <t>Ликвидация наледи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</si>
  <si>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</si>
  <si>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</si>
  <si>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3.2.8.7</t>
  </si>
  <si>
    <t>Подготовка смеси песка с хлоридами</t>
  </si>
  <si>
    <t>1 куб. м</t>
  </si>
  <si>
    <t>3.2.8.9</t>
  </si>
  <si>
    <t>Посыпка территории II класса</t>
  </si>
  <si>
    <t>3.2.8.11</t>
  </si>
  <si>
    <t>Транспортировка смеси песка с хлоридами от места складирования к месту посыпки</t>
  </si>
  <si>
    <t>1 куб.м</t>
  </si>
  <si>
    <t>3.2.8.13</t>
  </si>
  <si>
    <t>Очистка от наледи и льда водосточных труб</t>
  </si>
  <si>
    <t>1 шт</t>
  </si>
  <si>
    <t>3.2.9</t>
  </si>
  <si>
    <t>Очистка кровли</t>
  </si>
  <si>
    <t>3.2.9.2</t>
  </si>
  <si>
    <t>Очистка кровли от снега, сбивание сосулек (при толщине слоя до 20 см)</t>
  </si>
  <si>
    <t>100 кв.м. кровли</t>
  </si>
  <si>
    <t>3.2.9.3</t>
  </si>
  <si>
    <t>Очистка кровли от снега, сбивание сосулек (при толщине слоя более 20 см добавлять на каждые следующие 10 см)</t>
  </si>
  <si>
    <t>3.2.9.4</t>
  </si>
  <si>
    <t>Очистка кровли от мусора, листьев</t>
  </si>
  <si>
    <t>100 кв.м кровли</t>
  </si>
  <si>
    <t>3.2.10</t>
  </si>
  <si>
    <t>Механизированная уборка территории</t>
  </si>
  <si>
    <t>3.2.10.4</t>
  </si>
  <si>
    <t>Сдвигание свежевыпавшего снега толщиной слоя свыше 2 см в валы или кучи трактором</t>
  </si>
  <si>
    <t>1000 м2</t>
  </si>
  <si>
    <t>3.2.10.7</t>
  </si>
  <si>
    <t>Укладка снега, льда в валы или кучи  после механизированной уборки</t>
  </si>
  <si>
    <t>1 м3</t>
  </si>
  <si>
    <t>3.2.10.9</t>
  </si>
  <si>
    <t>Погрузка снега и скола в автосамосвалы погрузчиками</t>
  </si>
  <si>
    <t>м3</t>
  </si>
  <si>
    <t>3.2.11</t>
  </si>
  <si>
    <t>Уборка крыльца и площадки перед входом в подъезд (в холодный период года)</t>
  </si>
  <si>
    <t>3.2.12</t>
  </si>
  <si>
    <t>Уборка крыльца и площадки перед входом в подъезд (в теплый период года)</t>
  </si>
  <si>
    <t>3.2.13</t>
  </si>
  <si>
    <t>Очистка металлической решетки и приямка (в теплый период)</t>
  </si>
  <si>
    <t>1 приямок</t>
  </si>
  <si>
    <t>3.2.14</t>
  </si>
  <si>
    <t>Очистка контейнерной площадки в холодный период</t>
  </si>
  <si>
    <t>3.2.15</t>
  </si>
  <si>
    <t>Уборка мусора на  контейнерных  площадках</t>
  </si>
  <si>
    <t>3.2.16</t>
  </si>
  <si>
    <t>Погрузка мусора на автотранспорт вручную</t>
  </si>
  <si>
    <t>100 куб.м</t>
  </si>
  <si>
    <t>3.2.18</t>
  </si>
  <si>
    <t>Перекидывание снега и скола</t>
  </si>
  <si>
    <t>3.3</t>
  </si>
  <si>
    <t>Ремонт и установка объектов благоустройства придомовой территории</t>
  </si>
  <si>
    <t>3.3.1</t>
  </si>
  <si>
    <t>Ремонт  объектов  внешнего  благоустройства</t>
  </si>
  <si>
    <t>3.3.1.1</t>
  </si>
  <si>
    <t>Текущий ремонт ограждений газона</t>
  </si>
  <si>
    <t>пог.м.</t>
  </si>
  <si>
    <t>3.3.1.5</t>
  </si>
  <si>
    <t>Ремонт асфальтобетонного покрытия проездов</t>
  </si>
  <si>
    <t>100 м2</t>
  </si>
  <si>
    <t>3.3.1.6</t>
  </si>
  <si>
    <t>Ремонт тротуаров</t>
  </si>
  <si>
    <t>10 м2</t>
  </si>
  <si>
    <t>3.3.2</t>
  </si>
  <si>
    <t>Строительство  объектов внешнего  благоустройства</t>
  </si>
  <si>
    <t>3.3.2.3</t>
  </si>
  <si>
    <t>Установка скамьи с металлическими опорами</t>
  </si>
  <si>
    <t>3.3.2.8</t>
  </si>
  <si>
    <t>Устройство песочницы</t>
  </si>
  <si>
    <t>3.4</t>
  </si>
  <si>
    <t>Прочие работы</t>
  </si>
  <si>
    <t>3.4.1</t>
  </si>
  <si>
    <t>Дератизация чердаков и подвалов</t>
  </si>
  <si>
    <t>3.4.1.3</t>
  </si>
  <si>
    <t>Дератизация чердаков и подвалов с применением готовой приманки типа "Шторм" -  антикоагулянта II поколения</t>
  </si>
  <si>
    <t>1000 м2  обрабатываемых  помещений</t>
  </si>
  <si>
    <t>3.4.2</t>
  </si>
  <si>
    <t>Дезинсекция  подвалов</t>
  </si>
  <si>
    <t>ИТОГО:</t>
  </si>
  <si>
    <t>Стоимость на кв.м. в мес., руб.</t>
  </si>
  <si>
    <t>1.13. МКД с уборкой МОП и ПТ.Отопление, ГВС, ХПВ, Ээнергия, водоотведение.Электроплиты. Коридорного типа.</t>
  </si>
</sst>
</file>

<file path=xl/styles.xml><?xml version="1.0" encoding="utf-8"?>
<styleSheet xmlns="http://schemas.openxmlformats.org/spreadsheetml/2006/main">
  <numFmts count="1">
    <numFmt numFmtId="164" formatCode="#\ ###\ ##0.00"/>
  </numFmts>
  <fonts count="11">
    <font>
      <sz val="11"/>
      <color theme="1"/>
      <name val="Calibri"/>
      <family val="2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b/>
      <sz val="9"/>
      <color rgb="FFFFFFFF"/>
      <name val="Calibri"/>
      <family val="2"/>
      <charset val="204"/>
    </font>
    <font>
      <b/>
      <sz val="18"/>
      <color rgb="FF000099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color rgb="FF70707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0"/>
      <color rgb="FFFFFFFF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DCE6F1"/>
      </patternFill>
    </fill>
    <fill>
      <patternFill patternType="solid">
        <fgColor rgb="FFF2F2F2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8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FFFFFF"/>
      </left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0" fontId="7" fillId="0" borderId="0" xfId="0" applyFont="1"/>
    <xf numFmtId="0" fontId="7" fillId="3" borderId="6" xfId="0" applyFont="1" applyFill="1" applyBorder="1" applyAlignment="1">
      <alignment horizontal="center" vertical="top" wrapText="1" indent="1"/>
    </xf>
    <xf numFmtId="49" fontId="7" fillId="3" borderId="7" xfId="0" applyNumberFormat="1" applyFont="1" applyFill="1" applyBorder="1" applyAlignment="1">
      <alignment horizontal="left" vertical="top" wrapText="1" indent="1"/>
    </xf>
    <xf numFmtId="0" fontId="8" fillId="0" borderId="0" xfId="0" applyFont="1"/>
    <xf numFmtId="0" fontId="8" fillId="4" borderId="6" xfId="0" applyFont="1" applyFill="1" applyBorder="1" applyAlignment="1">
      <alignment horizontal="center" vertical="top" wrapText="1" indent="1"/>
    </xf>
    <xf numFmtId="49" fontId="8" fillId="4" borderId="7" xfId="0" applyNumberFormat="1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 wrapText="1" indent="1"/>
    </xf>
    <xf numFmtId="49" fontId="2" fillId="0" borderId="7" xfId="0" applyNumberFormat="1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/>
    </xf>
    <xf numFmtId="0" fontId="3" fillId="5" borderId="7" xfId="0" applyFont="1" applyFill="1" applyBorder="1" applyAlignment="1">
      <alignment horizontal="right" vertical="top" indent="1"/>
    </xf>
    <xf numFmtId="0" fontId="3" fillId="6" borderId="7" xfId="0" applyFont="1" applyFill="1" applyBorder="1" applyAlignment="1">
      <alignment horizontal="right" vertical="top" indent="1"/>
    </xf>
    <xf numFmtId="164" fontId="2" fillId="0" borderId="7" xfId="0" applyNumberFormat="1" applyFont="1" applyBorder="1" applyAlignment="1">
      <alignment horizontal="right" vertical="top" indent="1"/>
    </xf>
    <xf numFmtId="0" fontId="9" fillId="0" borderId="0" xfId="0" applyFont="1" applyAlignment="1">
      <alignment horizontal="right" vertical="center" wrapText="1" indent="1"/>
    </xf>
    <xf numFmtId="164" fontId="9" fillId="2" borderId="2" xfId="0" applyNumberFormat="1" applyFont="1" applyFill="1" applyBorder="1" applyAlignment="1">
      <alignment horizontal="right" vertical="center" wrapText="1" indent="1"/>
    </xf>
    <xf numFmtId="164" fontId="9" fillId="2" borderId="3" xfId="0" applyNumberFormat="1" applyFont="1" applyFill="1" applyBorder="1" applyAlignment="1">
      <alignment horizontal="right" vertical="center" wrapText="1" indent="1"/>
    </xf>
    <xf numFmtId="164" fontId="2" fillId="7" borderId="9" xfId="0" applyNumberFormat="1" applyFont="1" applyFill="1" applyBorder="1" applyAlignment="1">
      <alignment horizontal="right" vertical="top" indent="1"/>
    </xf>
    <xf numFmtId="0" fontId="7" fillId="3" borderId="10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indent="1"/>
    </xf>
    <xf numFmtId="164" fontId="2" fillId="7" borderId="11" xfId="0" applyNumberFormat="1" applyFont="1" applyFill="1" applyBorder="1" applyAlignment="1">
      <alignment horizontal="right" vertical="top" indent="1"/>
    </xf>
    <xf numFmtId="0" fontId="7" fillId="3" borderId="11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indent="2"/>
    </xf>
    <xf numFmtId="0" fontId="8" fillId="4" borderId="11" xfId="0" applyFont="1" applyFill="1" applyBorder="1" applyAlignment="1">
      <alignment indent="3"/>
    </xf>
    <xf numFmtId="164" fontId="2" fillId="7" borderId="12" xfId="0" applyNumberFormat="1" applyFont="1" applyFill="1" applyBorder="1" applyAlignment="1">
      <alignment horizontal="right" vertical="top" indent="1"/>
    </xf>
    <xf numFmtId="164" fontId="4" fillId="2" borderId="13" xfId="0" applyNumberFormat="1" applyFont="1" applyFill="1" applyBorder="1" applyAlignment="1">
      <alignment horizontal="center" vertical="center" wrapText="1" indent="1"/>
    </xf>
    <xf numFmtId="164" fontId="6" fillId="0" borderId="5" xfId="0" applyNumberFormat="1" applyFont="1" applyBorder="1" applyAlignment="1">
      <alignment horizontal="left" indent="1"/>
    </xf>
    <xf numFmtId="0" fontId="6" fillId="0" borderId="14" xfId="0" applyFont="1" applyBorder="1" applyAlignment="1">
      <alignment horizontal="left" indent="1"/>
    </xf>
    <xf numFmtId="164" fontId="6" fillId="0" borderId="15" xfId="0" applyNumberFormat="1" applyFont="1" applyBorder="1" applyAlignment="1">
      <alignment horizontal="left" indent="1"/>
    </xf>
    <xf numFmtId="14" fontId="6" fillId="0" borderId="4" xfId="0" applyNumberFormat="1" applyFont="1" applyBorder="1" applyAlignment="1">
      <alignment horizontal="left" indent="1"/>
    </xf>
    <xf numFmtId="164" fontId="6" fillId="0" borderId="4" xfId="0" applyNumberFormat="1" applyFont="1" applyBorder="1" applyAlignment="1">
      <alignment horizontal="right" indent="1"/>
    </xf>
    <xf numFmtId="164" fontId="6" fillId="0" borderId="5" xfId="0" applyNumberFormat="1" applyFont="1" applyBorder="1" applyAlignment="1">
      <alignment horizontal="right" indent="1"/>
    </xf>
    <xf numFmtId="0" fontId="7" fillId="3" borderId="8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indent="1"/>
    </xf>
    <xf numFmtId="0" fontId="8" fillId="4" borderId="9" xfId="0" applyFont="1" applyFill="1" applyBorder="1" applyAlignment="1">
      <alignment indent="1"/>
    </xf>
    <xf numFmtId="0" fontId="8" fillId="4" borderId="8" xfId="0" applyFont="1" applyFill="1" applyBorder="1" applyAlignment="1">
      <alignment indent="2"/>
    </xf>
    <xf numFmtId="0" fontId="8" fillId="4" borderId="9" xfId="0" applyFont="1" applyFill="1" applyBorder="1" applyAlignment="1">
      <alignment indent="2"/>
    </xf>
    <xf numFmtId="0" fontId="8" fillId="4" borderId="8" xfId="0" applyFont="1" applyFill="1" applyBorder="1" applyAlignment="1">
      <alignment indent="3"/>
    </xf>
    <xf numFmtId="0" fontId="8" fillId="4" borderId="9" xfId="0" applyFont="1" applyFill="1" applyBorder="1" applyAlignment="1">
      <alignment indent="3"/>
    </xf>
    <xf numFmtId="0" fontId="10" fillId="2" borderId="1" xfId="0" applyFont="1" applyFill="1" applyBorder="1" applyAlignment="1">
      <alignment horizontal="righ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17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6"/>
  <sheetViews>
    <sheetView tabSelected="1" workbookViewId="0">
      <pane ySplit="1" topLeftCell="A2" activePane="bottomLeft" state="frozen"/>
      <selection pane="bottomLeft" activeCell="U10" sqref="U10"/>
    </sheetView>
  </sheetViews>
  <sheetFormatPr defaultRowHeight="15.75"/>
  <cols>
    <col min="1" max="1" width="3" customWidth="1"/>
    <col min="2" max="2" width="6" style="1" customWidth="1"/>
    <col min="3" max="3" width="13" style="2" customWidth="1"/>
    <col min="4" max="4" width="50" style="3" customWidth="1"/>
    <col min="5" max="5" width="20" style="3" customWidth="1"/>
    <col min="6" max="7" width="12" style="4" customWidth="1"/>
    <col min="8" max="9" width="14" style="5" customWidth="1"/>
    <col min="10" max="10" width="13" style="5" customWidth="1"/>
    <col min="11" max="13" width="14" style="5" customWidth="1"/>
    <col min="14" max="15" width="16" style="5" customWidth="1"/>
  </cols>
  <sheetData>
    <row r="1" spans="1:15" s="6" customFormat="1" ht="39.950000000000003" customHeight="1" thickTop="1" thickBot="1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34" t="s">
        <v>13</v>
      </c>
      <c r="O1" s="34" t="s">
        <v>883</v>
      </c>
    </row>
    <row r="2" spans="1:15" thickTop="1">
      <c r="A2" t="s">
        <v>0</v>
      </c>
      <c r="B2" s="50" t="s">
        <v>884</v>
      </c>
      <c r="C2" s="51"/>
      <c r="D2" s="51"/>
      <c r="E2" s="51"/>
      <c r="F2" s="51"/>
      <c r="G2" s="51"/>
      <c r="H2" s="51"/>
      <c r="I2" s="51"/>
      <c r="J2" s="51"/>
      <c r="K2" s="51"/>
      <c r="L2" s="39" t="s">
        <v>14</v>
      </c>
      <c r="M2" s="39"/>
      <c r="N2" s="38">
        <v>45575</v>
      </c>
      <c r="O2" s="36"/>
    </row>
    <row r="3" spans="1:15" ht="36.75" customHeight="1" thickBot="1">
      <c r="B3" s="52"/>
      <c r="C3" s="53"/>
      <c r="D3" s="53"/>
      <c r="E3" s="53"/>
      <c r="F3" s="53"/>
      <c r="G3" s="53"/>
      <c r="H3" s="53"/>
      <c r="I3" s="53"/>
      <c r="J3" s="53"/>
      <c r="K3" s="53"/>
      <c r="L3" s="40" t="s">
        <v>15</v>
      </c>
      <c r="M3" s="40"/>
      <c r="N3" s="35">
        <v>5462</v>
      </c>
      <c r="O3" s="37"/>
    </row>
    <row r="4" spans="1:15" s="11" customFormat="1" thickTop="1">
      <c r="B4" s="12"/>
      <c r="C4" s="13" t="s">
        <v>16</v>
      </c>
      <c r="D4" s="41" t="s">
        <v>17</v>
      </c>
      <c r="E4" s="41"/>
      <c r="F4" s="41"/>
      <c r="G4" s="41"/>
      <c r="H4" s="41"/>
      <c r="I4" s="41"/>
      <c r="J4" s="41"/>
      <c r="K4" s="41"/>
      <c r="L4" s="41"/>
      <c r="M4" s="41"/>
      <c r="N4" s="42"/>
      <c r="O4" s="27"/>
    </row>
    <row r="5" spans="1:15" s="14" customFormat="1" ht="12.75">
      <c r="B5" s="15"/>
      <c r="C5" s="16" t="s">
        <v>18</v>
      </c>
      <c r="D5" s="43" t="s">
        <v>19</v>
      </c>
      <c r="E5" s="43"/>
      <c r="F5" s="43"/>
      <c r="G5" s="43"/>
      <c r="H5" s="43"/>
      <c r="I5" s="43"/>
      <c r="J5" s="43"/>
      <c r="K5" s="43"/>
      <c r="L5" s="43"/>
      <c r="M5" s="43"/>
      <c r="N5" s="44"/>
      <c r="O5" s="28"/>
    </row>
    <row r="6" spans="1:15">
      <c r="B6" s="17">
        <v>1</v>
      </c>
      <c r="C6" s="18" t="s">
        <v>20</v>
      </c>
      <c r="D6" s="19" t="s">
        <v>21</v>
      </c>
      <c r="E6" s="19" t="s">
        <v>22</v>
      </c>
      <c r="F6" s="20">
        <v>1.6800000000000002</v>
      </c>
      <c r="G6" s="21">
        <v>1</v>
      </c>
      <c r="H6" s="22">
        <f>F6 * G6 * 1435.619052</f>
        <v>2411.8400073600001</v>
      </c>
      <c r="I6" s="22">
        <f>F6 * G6 * 0</f>
        <v>0</v>
      </c>
      <c r="J6" s="22">
        <f>F6 * G6 * 19.067664</f>
        <v>32.033675520000003</v>
      </c>
      <c r="K6" s="22">
        <f>F6 * G6 * 1366.709338</f>
        <v>2296.0716878399999</v>
      </c>
      <c r="L6" s="22">
        <f>F6 * G6 * 327.948845</f>
        <v>550.95405960000005</v>
      </c>
      <c r="M6" s="22">
        <f>F6 * G6 * 287.12381</f>
        <v>482.3680008</v>
      </c>
      <c r="N6" s="26">
        <f>SUM(H6:M6)</f>
        <v>5773.2674311199999</v>
      </c>
      <c r="O6" s="29">
        <v>8.808231769681435E-2</v>
      </c>
    </row>
    <row r="7" spans="1:15" s="14" customFormat="1" ht="12.75">
      <c r="B7" s="15"/>
      <c r="C7" s="16" t="s">
        <v>23</v>
      </c>
      <c r="D7" s="43" t="s">
        <v>24</v>
      </c>
      <c r="E7" s="43"/>
      <c r="F7" s="43"/>
      <c r="G7" s="43"/>
      <c r="H7" s="43"/>
      <c r="I7" s="43"/>
      <c r="J7" s="43"/>
      <c r="K7" s="43"/>
      <c r="L7" s="43"/>
      <c r="M7" s="43"/>
      <c r="N7" s="44"/>
      <c r="O7" s="28"/>
    </row>
    <row r="8" spans="1:15" ht="25.5">
      <c r="B8" s="17">
        <v>2</v>
      </c>
      <c r="C8" s="18" t="s">
        <v>25</v>
      </c>
      <c r="D8" s="19" t="s">
        <v>26</v>
      </c>
      <c r="E8" s="19" t="s">
        <v>27</v>
      </c>
      <c r="F8" s="20">
        <v>2</v>
      </c>
      <c r="G8" s="21">
        <v>1</v>
      </c>
      <c r="H8" s="22">
        <f>F8 * G8 * 1414.711751</f>
        <v>2829.4235020000001</v>
      </c>
      <c r="I8" s="22">
        <f>F8 * G8 * 4133.305751</f>
        <v>8266.6115019999997</v>
      </c>
      <c r="J8" s="22">
        <f>F8 * G8 * 33.78584</f>
        <v>67.571680000000001</v>
      </c>
      <c r="K8" s="22">
        <f>F8 * G8 * 1346.805587</f>
        <v>2693.6111740000001</v>
      </c>
      <c r="L8" s="22">
        <f>F8 * G8 * 760.81866</f>
        <v>1521.63732</v>
      </c>
      <c r="M8" s="22">
        <f>F8 * G8 * 282.94235</f>
        <v>565.88469999999995</v>
      </c>
      <c r="N8" s="26">
        <f>SUM(H8:M8)</f>
        <v>15944.739877999998</v>
      </c>
      <c r="O8" s="29">
        <v>0.24326772668741606</v>
      </c>
    </row>
    <row r="9" spans="1:15" s="14" customFormat="1" ht="12.75">
      <c r="B9" s="15"/>
      <c r="C9" s="16" t="s">
        <v>28</v>
      </c>
      <c r="D9" s="43" t="s">
        <v>29</v>
      </c>
      <c r="E9" s="43"/>
      <c r="F9" s="43"/>
      <c r="G9" s="43"/>
      <c r="H9" s="43"/>
      <c r="I9" s="43"/>
      <c r="J9" s="43"/>
      <c r="K9" s="43"/>
      <c r="L9" s="43"/>
      <c r="M9" s="43"/>
      <c r="N9" s="44"/>
      <c r="O9" s="28"/>
    </row>
    <row r="10" spans="1:15" ht="38.25">
      <c r="B10" s="17">
        <v>3</v>
      </c>
      <c r="C10" s="18" t="s">
        <v>30</v>
      </c>
      <c r="D10" s="19" t="s">
        <v>31</v>
      </c>
      <c r="E10" s="19" t="s">
        <v>32</v>
      </c>
      <c r="F10" s="20">
        <v>0.08</v>
      </c>
      <c r="G10" s="21">
        <v>1</v>
      </c>
      <c r="H10" s="22">
        <f>F10 * G10 * 2465.975794</f>
        <v>197.27806351999999</v>
      </c>
      <c r="I10" s="22">
        <f>F10 * G10 * 13439.180475</f>
        <v>1075.134438</v>
      </c>
      <c r="J10" s="22">
        <f t="shared" ref="J10:J17" si="0">F10 * G10 * 0</f>
        <v>0</v>
      </c>
      <c r="K10" s="22">
        <f>F10 * G10 * 2347.608956</f>
        <v>187.80871648000002</v>
      </c>
      <c r="L10" s="22">
        <f>F10 * G10 * 1977.698821</f>
        <v>158.21590567999999</v>
      </c>
      <c r="M10" s="22">
        <f>F10 * G10 * 493.195159</f>
        <v>39.455612719999998</v>
      </c>
      <c r="N10" s="26">
        <f t="shared" ref="N10:N17" si="1">SUM(H10:M10)</f>
        <v>1657.8927363999999</v>
      </c>
      <c r="O10" s="29">
        <v>2.5294347864030269E-2</v>
      </c>
    </row>
    <row r="11" spans="1:15">
      <c r="B11" s="17">
        <v>4</v>
      </c>
      <c r="C11" s="18" t="s">
        <v>33</v>
      </c>
      <c r="D11" s="19" t="s">
        <v>34</v>
      </c>
      <c r="E11" s="19" t="s">
        <v>35</v>
      </c>
      <c r="F11" s="20">
        <v>0.06</v>
      </c>
      <c r="G11" s="21">
        <v>12</v>
      </c>
      <c r="H11" s="22">
        <f>F11 * G11 * 1591.675285</f>
        <v>1146.0062052000001</v>
      </c>
      <c r="I11" s="22">
        <f>F11 * G11 * 4885.368</f>
        <v>3517.4649600000002</v>
      </c>
      <c r="J11" s="22">
        <f t="shared" si="0"/>
        <v>0</v>
      </c>
      <c r="K11" s="22">
        <f>F11 * G11 * 1515.274871</f>
        <v>1090.99790712</v>
      </c>
      <c r="L11" s="22">
        <f>F11 * G11 * 876.773914</f>
        <v>631.27721808000001</v>
      </c>
      <c r="M11" s="22">
        <f>F11 * G11 * 318.335057</f>
        <v>229.20124103999999</v>
      </c>
      <c r="N11" s="26">
        <f t="shared" si="1"/>
        <v>6614.9475314400006</v>
      </c>
      <c r="O11" s="29">
        <v>0.10092376924569756</v>
      </c>
    </row>
    <row r="12" spans="1:15">
      <c r="B12" s="17">
        <v>5</v>
      </c>
      <c r="C12" s="18" t="s">
        <v>36</v>
      </c>
      <c r="D12" s="19" t="s">
        <v>37</v>
      </c>
      <c r="E12" s="19" t="s">
        <v>35</v>
      </c>
      <c r="F12" s="20">
        <v>0.02</v>
      </c>
      <c r="G12" s="21">
        <v>1</v>
      </c>
      <c r="H12" s="22">
        <f>F12 * G12 * 5748.940747</f>
        <v>114.97881493999999</v>
      </c>
      <c r="I12" s="22">
        <f>F12 * G12 * 7464.4272</f>
        <v>149.288544</v>
      </c>
      <c r="J12" s="22">
        <f t="shared" si="0"/>
        <v>0</v>
      </c>
      <c r="K12" s="22">
        <f>F12 * G12 * 5472.991592</f>
        <v>109.45983184000001</v>
      </c>
      <c r="L12" s="22">
        <f>F12 * G12 * 2092.713581</f>
        <v>41.854271619999999</v>
      </c>
      <c r="M12" s="22">
        <f>F12 * G12 * 1149.788149</f>
        <v>22.995762979999999</v>
      </c>
      <c r="N12" s="26">
        <f t="shared" si="1"/>
        <v>438.57722538000002</v>
      </c>
      <c r="O12" s="29">
        <v>6.6913405556572681E-3</v>
      </c>
    </row>
    <row r="13" spans="1:15">
      <c r="B13" s="17">
        <v>6</v>
      </c>
      <c r="C13" s="18" t="s">
        <v>38</v>
      </c>
      <c r="D13" s="19" t="s">
        <v>39</v>
      </c>
      <c r="E13" s="19" t="s">
        <v>35</v>
      </c>
      <c r="F13" s="20">
        <v>0.02</v>
      </c>
      <c r="G13" s="21">
        <v>1</v>
      </c>
      <c r="H13" s="22">
        <f>F13 * G13 * 8121.502066</f>
        <v>162.43004132000002</v>
      </c>
      <c r="I13" s="22">
        <f>F13 * G13 * 3387.384</f>
        <v>67.747680000000003</v>
      </c>
      <c r="J13" s="22">
        <f t="shared" si="0"/>
        <v>0</v>
      </c>
      <c r="K13" s="22">
        <f>F13 * G13 * 7731.669967</f>
        <v>154.63339934000001</v>
      </c>
      <c r="L13" s="22">
        <f>F13 * G13 * 2201.242355</f>
        <v>44.024847099999995</v>
      </c>
      <c r="M13" s="22">
        <f>F13 * G13 * 1624.300413</f>
        <v>32.486008259999998</v>
      </c>
      <c r="N13" s="26">
        <f t="shared" si="1"/>
        <v>461.32197602000002</v>
      </c>
      <c r="O13" s="29">
        <v>7.0383555477236672E-3</v>
      </c>
    </row>
    <row r="14" spans="1:15" ht="25.5">
      <c r="B14" s="17">
        <v>7</v>
      </c>
      <c r="C14" s="18" t="s">
        <v>40</v>
      </c>
      <c r="D14" s="19" t="s">
        <v>41</v>
      </c>
      <c r="E14" s="19" t="s">
        <v>42</v>
      </c>
      <c r="F14" s="20">
        <v>0.04</v>
      </c>
      <c r="G14" s="21">
        <v>0.2</v>
      </c>
      <c r="H14" s="22">
        <f>F14 * G14 * 10354.856537</f>
        <v>82.838852295999999</v>
      </c>
      <c r="I14" s="22">
        <f>F14 * G14 * 127571.28611</f>
        <v>1020.57028888</v>
      </c>
      <c r="J14" s="22">
        <f t="shared" si="0"/>
        <v>0</v>
      </c>
      <c r="K14" s="22">
        <f>F14 * G14 * 9857.823423</f>
        <v>78.862587383999994</v>
      </c>
      <c r="L14" s="22">
        <f>F14 * G14 * 15809.695893</f>
        <v>126.47756714400001</v>
      </c>
      <c r="M14" s="22">
        <f>F14 * G14 * 2070.971307</f>
        <v>16.567770455999998</v>
      </c>
      <c r="N14" s="26">
        <f t="shared" si="1"/>
        <v>1325.3170661600002</v>
      </c>
      <c r="O14" s="29">
        <v>2.0220265259367754E-2</v>
      </c>
    </row>
    <row r="15" spans="1:15">
      <c r="B15" s="17">
        <v>8</v>
      </c>
      <c r="C15" s="18" t="s">
        <v>43</v>
      </c>
      <c r="D15" s="19" t="s">
        <v>44</v>
      </c>
      <c r="E15" s="19" t="s">
        <v>45</v>
      </c>
      <c r="F15" s="20">
        <v>0.04</v>
      </c>
      <c r="G15" s="21">
        <v>0.2</v>
      </c>
      <c r="H15" s="22">
        <f>F15 * G15 * 755.698906</f>
        <v>6.045591248</v>
      </c>
      <c r="I15" s="22">
        <f>F15 * G15 * 1264.115816</f>
        <v>10.112926528000001</v>
      </c>
      <c r="J15" s="22">
        <f t="shared" si="0"/>
        <v>0</v>
      </c>
      <c r="K15" s="22">
        <f>F15 * G15 * 719.425359</f>
        <v>5.7554028719999994</v>
      </c>
      <c r="L15" s="22">
        <f>F15 * G15 * 304.935075</f>
        <v>2.4394806</v>
      </c>
      <c r="M15" s="22">
        <f>F15 * G15 * 151.139781</f>
        <v>1.209118248</v>
      </c>
      <c r="N15" s="26">
        <f t="shared" si="1"/>
        <v>25.562519496</v>
      </c>
      <c r="O15" s="29">
        <v>3.9000548480410107E-4</v>
      </c>
    </row>
    <row r="16" spans="1:15">
      <c r="B16" s="17">
        <v>9</v>
      </c>
      <c r="C16" s="18" t="s">
        <v>46</v>
      </c>
      <c r="D16" s="19" t="s">
        <v>47</v>
      </c>
      <c r="E16" s="19" t="s">
        <v>48</v>
      </c>
      <c r="F16" s="20">
        <v>0.15</v>
      </c>
      <c r="G16" s="21">
        <v>0.2</v>
      </c>
      <c r="H16" s="22">
        <f>F16 * G16 * 8311.298654</f>
        <v>249.33895962</v>
      </c>
      <c r="I16" s="22">
        <f>F16 * G16 * 67892.886109</f>
        <v>2036.7865832699999</v>
      </c>
      <c r="J16" s="22">
        <f t="shared" si="0"/>
        <v>0</v>
      </c>
      <c r="K16" s="22">
        <f>F16 * G16 * 7912.35631899999</f>
        <v>237.37068956999971</v>
      </c>
      <c r="L16" s="22">
        <f>F16 * G16 * 9049.663486</f>
        <v>271.48990457999997</v>
      </c>
      <c r="M16" s="22">
        <f>F16 * G16 * 1662.259731</f>
        <v>49.867791930000003</v>
      </c>
      <c r="N16" s="26">
        <f t="shared" si="1"/>
        <v>2844.8539289699993</v>
      </c>
      <c r="O16" s="29">
        <v>4.3403727709172453E-2</v>
      </c>
    </row>
    <row r="17" spans="2:15" ht="38.25">
      <c r="B17" s="17">
        <v>10</v>
      </c>
      <c r="C17" s="18" t="s">
        <v>49</v>
      </c>
      <c r="D17" s="19" t="s">
        <v>50</v>
      </c>
      <c r="E17" s="19" t="s">
        <v>35</v>
      </c>
      <c r="F17" s="20">
        <v>0.08</v>
      </c>
      <c r="G17" s="21">
        <v>0.1</v>
      </c>
      <c r="H17" s="22">
        <f>F17 * G17 * 14448.376354</f>
        <v>115.587010832</v>
      </c>
      <c r="I17" s="22">
        <f>F17 * G17 * 20500.196424</f>
        <v>164.00157139200002</v>
      </c>
      <c r="J17" s="22">
        <f t="shared" si="0"/>
        <v>0</v>
      </c>
      <c r="K17" s="22">
        <f>F17 * G17 * 13754.8542889999</f>
        <v>110.03883431199921</v>
      </c>
      <c r="L17" s="22">
        <f>F17 * G17 * 5443.072297</f>
        <v>43.544578375999997</v>
      </c>
      <c r="M17" s="22">
        <f>F17 * G17 * 2889.675271</f>
        <v>23.117402168000002</v>
      </c>
      <c r="N17" s="26">
        <f t="shared" si="1"/>
        <v>456.28939707999922</v>
      </c>
      <c r="O17" s="29">
        <v>6.9615738600024291E-3</v>
      </c>
    </row>
    <row r="18" spans="2:15" s="14" customFormat="1" ht="12.75">
      <c r="B18" s="15"/>
      <c r="C18" s="16" t="s">
        <v>51</v>
      </c>
      <c r="D18" s="43" t="s">
        <v>52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8"/>
    </row>
    <row r="19" spans="2:15" ht="25.5">
      <c r="B19" s="17">
        <v>11</v>
      </c>
      <c r="C19" s="18" t="s">
        <v>53</v>
      </c>
      <c r="D19" s="19" t="s">
        <v>54</v>
      </c>
      <c r="E19" s="19" t="s">
        <v>55</v>
      </c>
      <c r="F19" s="20">
        <v>0.05</v>
      </c>
      <c r="G19" s="21">
        <v>0.2</v>
      </c>
      <c r="H19" s="22">
        <f>F19 * G19 * 58708.137087</f>
        <v>587.08137087000011</v>
      </c>
      <c r="I19" s="22">
        <f>F19 * G19 * 70612.033515</f>
        <v>706.12033515000019</v>
      </c>
      <c r="J19" s="22">
        <f>F19 * G19 * 2733.912984</f>
        <v>27.339129840000005</v>
      </c>
      <c r="K19" s="22">
        <f>F19 * G19 * 58248.696484</f>
        <v>582.48696484000016</v>
      </c>
      <c r="L19" s="22">
        <f>F19 * G19 * 21367.959575</f>
        <v>213.67959575000006</v>
      </c>
      <c r="M19" s="22">
        <f>F19 * G19 * 12237.12111</f>
        <v>122.37121110000002</v>
      </c>
      <c r="N19" s="26">
        <f>SUM(H19:M19)</f>
        <v>2239.0786075500005</v>
      </c>
      <c r="O19" s="29">
        <v>3.416145806709997E-2</v>
      </c>
    </row>
    <row r="20" spans="2:15">
      <c r="B20" s="17">
        <v>12</v>
      </c>
      <c r="C20" s="18" t="s">
        <v>56</v>
      </c>
      <c r="D20" s="19" t="s">
        <v>57</v>
      </c>
      <c r="E20" s="19" t="s">
        <v>58</v>
      </c>
      <c r="F20" s="20">
        <v>2</v>
      </c>
      <c r="G20" s="21">
        <v>1</v>
      </c>
      <c r="H20" s="22">
        <f>F20 * G20 * 98.639032</f>
        <v>197.278064</v>
      </c>
      <c r="I20" s="22">
        <f>F20 * G20 * 157.771984</f>
        <v>315.54396800000001</v>
      </c>
      <c r="J20" s="22">
        <f>F20 * G20 * 0</f>
        <v>0</v>
      </c>
      <c r="K20" s="22">
        <f>F20 * G20 * 93.904359</f>
        <v>187.808718</v>
      </c>
      <c r="L20" s="22">
        <f>F20 * G20 * 39.039556</f>
        <v>78.079111999999995</v>
      </c>
      <c r="M20" s="22">
        <f>F20 * G20 * 19.727806</f>
        <v>39.455612000000002</v>
      </c>
      <c r="N20" s="26">
        <f>SUM(H20:M20)</f>
        <v>818.16547400000002</v>
      </c>
      <c r="O20" s="29">
        <v>1.24826906200415E-2</v>
      </c>
    </row>
    <row r="21" spans="2:15" s="11" customFormat="1" ht="15">
      <c r="B21" s="12"/>
      <c r="C21" s="13" t="s">
        <v>59</v>
      </c>
      <c r="D21" s="41" t="s">
        <v>60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30"/>
    </row>
    <row r="22" spans="2:15" s="14" customFormat="1" ht="12.75">
      <c r="B22" s="15"/>
      <c r="C22" s="16" t="s">
        <v>61</v>
      </c>
      <c r="D22" s="43" t="s">
        <v>62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8"/>
    </row>
    <row r="23" spans="2:15" ht="25.5">
      <c r="B23" s="17">
        <v>13</v>
      </c>
      <c r="C23" s="18" t="s">
        <v>63</v>
      </c>
      <c r="D23" s="19" t="s">
        <v>64</v>
      </c>
      <c r="E23" s="19" t="s">
        <v>65</v>
      </c>
      <c r="F23" s="20">
        <v>20</v>
      </c>
      <c r="G23" s="21">
        <v>1</v>
      </c>
      <c r="H23" s="22">
        <f>F23 * G23 * 545.019211</f>
        <v>10900.38422</v>
      </c>
      <c r="I23" s="22">
        <f>F23 * G23 * 528.708424</f>
        <v>10574.16848</v>
      </c>
      <c r="J23" s="22">
        <f>F23 * G23 * 0</f>
        <v>0</v>
      </c>
      <c r="K23" s="22">
        <f>F23 * G23 * 518.858289</f>
        <v>10377.165779999999</v>
      </c>
      <c r="L23" s="22">
        <f>F23 * G23 * 179.51772</f>
        <v>3590.3544000000002</v>
      </c>
      <c r="M23" s="22">
        <f>F23 * G23 * 109.003842</f>
        <v>2180.0768400000002</v>
      </c>
      <c r="N23" s="26">
        <f>SUM(H23:M23)</f>
        <v>37622.149720000001</v>
      </c>
      <c r="O23" s="29">
        <v>0.57399837849383617</v>
      </c>
    </row>
    <row r="24" spans="2:15" s="14" customFormat="1" ht="12.75">
      <c r="B24" s="15"/>
      <c r="C24" s="16" t="s">
        <v>66</v>
      </c>
      <c r="D24" s="43" t="s">
        <v>67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8"/>
    </row>
    <row r="25" spans="2:15" s="14" customFormat="1" ht="12.75">
      <c r="B25" s="15"/>
      <c r="C25" s="16" t="s">
        <v>68</v>
      </c>
      <c r="D25" s="45" t="s">
        <v>69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31"/>
    </row>
    <row r="26" spans="2:15" ht="38.25">
      <c r="B26" s="17">
        <v>14</v>
      </c>
      <c r="C26" s="18" t="s">
        <v>70</v>
      </c>
      <c r="D26" s="19" t="s">
        <v>71</v>
      </c>
      <c r="E26" s="19" t="s">
        <v>72</v>
      </c>
      <c r="F26" s="20">
        <v>0.4</v>
      </c>
      <c r="G26" s="21">
        <v>0.1</v>
      </c>
      <c r="H26" s="22">
        <f>F26 * G26 * 34349.95026</f>
        <v>1373.9980104000001</v>
      </c>
      <c r="I26" s="22">
        <f>F26 * G26 * 10291.960097</f>
        <v>411.67840388000008</v>
      </c>
      <c r="J26" s="22">
        <f>F26 * G26 * 13049.52</f>
        <v>521.98080000000016</v>
      </c>
      <c r="K26" s="22">
        <f>F26 * G26 * 32701.152648</f>
        <v>1308.0461059200002</v>
      </c>
      <c r="L26" s="22">
        <f>F26 * G26 * 10261.201457</f>
        <v>410.44805828000005</v>
      </c>
      <c r="M26" s="22">
        <f>F26 * G26 * 6869.990052</f>
        <v>274.79960208000006</v>
      </c>
      <c r="N26" s="26">
        <f>SUM(H26:M26)</f>
        <v>4300.950980560001</v>
      </c>
      <c r="O26" s="29">
        <v>6.5619293612840246E-2</v>
      </c>
    </row>
    <row r="27" spans="2:15" s="14" customFormat="1" ht="12.75">
      <c r="B27" s="15"/>
      <c r="C27" s="16" t="s">
        <v>73</v>
      </c>
      <c r="D27" s="43" t="s">
        <v>74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8"/>
    </row>
    <row r="28" spans="2:15" s="14" customFormat="1" ht="12.75">
      <c r="B28" s="15"/>
      <c r="C28" s="16" t="s">
        <v>75</v>
      </c>
      <c r="D28" s="45" t="s">
        <v>76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31"/>
    </row>
    <row r="29" spans="2:15" ht="25.5">
      <c r="B29" s="17">
        <v>15</v>
      </c>
      <c r="C29" s="18" t="s">
        <v>77</v>
      </c>
      <c r="D29" s="19" t="s">
        <v>78</v>
      </c>
      <c r="E29" s="19" t="s">
        <v>79</v>
      </c>
      <c r="F29" s="20">
        <v>4</v>
      </c>
      <c r="G29" s="21">
        <v>1</v>
      </c>
      <c r="H29" s="22">
        <f>F29 * G29 * 2358.696585</f>
        <v>9434.7863400000006</v>
      </c>
      <c r="I29" s="22">
        <f>F29 * G29 * 2330.556965</f>
        <v>9322.2278600000009</v>
      </c>
      <c r="J29" s="22">
        <f>F29 * G29 * 0</f>
        <v>0</v>
      </c>
      <c r="K29" s="22">
        <f>F29 * G29 * 2245.479149</f>
        <v>8981.9165959999991</v>
      </c>
      <c r="L29" s="22">
        <f>F29 * G29 * 781.382798</f>
        <v>3125.5311919999999</v>
      </c>
      <c r="M29" s="22">
        <f>F29 * G29 * 471.739317</f>
        <v>1886.9572680000001</v>
      </c>
      <c r="N29" s="26">
        <f>SUM(H29:M29)</f>
        <v>32751.419256000001</v>
      </c>
      <c r="O29" s="29">
        <v>0.4996860010984987</v>
      </c>
    </row>
    <row r="30" spans="2:15" ht="25.5">
      <c r="B30" s="17">
        <v>16</v>
      </c>
      <c r="C30" s="18" t="s">
        <v>80</v>
      </c>
      <c r="D30" s="19" t="s">
        <v>81</v>
      </c>
      <c r="E30" s="19" t="s">
        <v>79</v>
      </c>
      <c r="F30" s="20">
        <v>1.2</v>
      </c>
      <c r="G30" s="21">
        <v>1</v>
      </c>
      <c r="H30" s="22">
        <f>F30 * G30 * 1144.998342</f>
        <v>1373.9980104000001</v>
      </c>
      <c r="I30" s="22">
        <f>F30 * G30 * 2330.556965</f>
        <v>2796.6683580000004</v>
      </c>
      <c r="J30" s="22">
        <f>F30 * G30 * 0</f>
        <v>0</v>
      </c>
      <c r="K30" s="22">
        <f>F30 * G30 * 1090.038421</f>
        <v>1308.0461051999998</v>
      </c>
      <c r="L30" s="22">
        <f>F30 * G30 * 505.829602999999</f>
        <v>606.99552359999882</v>
      </c>
      <c r="M30" s="22">
        <f>F30 * G30 * 228.999668</f>
        <v>274.79960160000002</v>
      </c>
      <c r="N30" s="26">
        <f>SUM(H30:M30)</f>
        <v>6360.507598799999</v>
      </c>
      <c r="O30" s="29">
        <v>9.7041797857927492E-2</v>
      </c>
    </row>
    <row r="31" spans="2:15" s="14" customFormat="1" ht="12.75">
      <c r="B31" s="15"/>
      <c r="C31" s="16" t="s">
        <v>82</v>
      </c>
      <c r="D31" s="43" t="s">
        <v>83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8"/>
    </row>
    <row r="32" spans="2:15" s="14" customFormat="1" ht="12.75">
      <c r="B32" s="15"/>
      <c r="C32" s="16" t="s">
        <v>84</v>
      </c>
      <c r="D32" s="45" t="s">
        <v>85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31"/>
    </row>
    <row r="33" spans="2:15" ht="38.25">
      <c r="B33" s="17">
        <v>17</v>
      </c>
      <c r="C33" s="18" t="s">
        <v>86</v>
      </c>
      <c r="D33" s="19" t="s">
        <v>87</v>
      </c>
      <c r="E33" s="19" t="s">
        <v>88</v>
      </c>
      <c r="F33" s="20">
        <v>32.985999999999997</v>
      </c>
      <c r="G33" s="21">
        <v>0.2</v>
      </c>
      <c r="H33" s="22">
        <f>F33 * G33 * 6250.762095</f>
        <v>41237.527693133998</v>
      </c>
      <c r="I33" s="22">
        <f>F33 * G33 * 13630.595236</f>
        <v>89923.762890939193</v>
      </c>
      <c r="J33" s="22">
        <f>F33 * G33 * 0</f>
        <v>0</v>
      </c>
      <c r="K33" s="22">
        <f>F33 * G33 * 5950.725515</f>
        <v>39258.126367557998</v>
      </c>
      <c r="L33" s="22">
        <f>F33 * G33 * 2857.17582</f>
        <v>18849.360319703999</v>
      </c>
      <c r="M33" s="22">
        <f>F33 * G33 * 1250.152419</f>
        <v>8247.5055386267995</v>
      </c>
      <c r="N33" s="26">
        <f>SUM(H33:M33)</f>
        <v>197516.28280996199</v>
      </c>
      <c r="O33" s="29">
        <v>3.0134914379647562</v>
      </c>
    </row>
    <row r="34" spans="2:15" s="14" customFormat="1" ht="12.75">
      <c r="B34" s="15"/>
      <c r="C34" s="16" t="s">
        <v>89</v>
      </c>
      <c r="D34" s="43" t="s">
        <v>90</v>
      </c>
      <c r="E34" s="43"/>
      <c r="F34" s="43"/>
      <c r="G34" s="43"/>
      <c r="H34" s="43"/>
      <c r="I34" s="43"/>
      <c r="J34" s="43"/>
      <c r="K34" s="43"/>
      <c r="L34" s="43"/>
      <c r="M34" s="43"/>
      <c r="N34" s="44"/>
      <c r="O34" s="28"/>
    </row>
    <row r="35" spans="2:15" ht="25.5">
      <c r="B35" s="17">
        <v>18</v>
      </c>
      <c r="C35" s="18" t="s">
        <v>91</v>
      </c>
      <c r="D35" s="19" t="s">
        <v>92</v>
      </c>
      <c r="E35" s="19" t="s">
        <v>93</v>
      </c>
      <c r="F35" s="20">
        <v>9.66</v>
      </c>
      <c r="G35" s="21">
        <v>0.2</v>
      </c>
      <c r="H35" s="22">
        <f>F35 * G35 * 45799.93368</f>
        <v>88485.471869760018</v>
      </c>
      <c r="I35" s="22">
        <f>F35 * G35 * 27288.920963</f>
        <v>52722.195300516003</v>
      </c>
      <c r="J35" s="22">
        <f>F35 * G35 * 0</f>
        <v>0</v>
      </c>
      <c r="K35" s="22">
        <f>F35 * G35 * 43601.536863</f>
        <v>84238.169219316012</v>
      </c>
      <c r="L35" s="22">
        <f>F35 * G35 * 13277.214904</f>
        <v>25651.579194528003</v>
      </c>
      <c r="M35" s="22">
        <f>F35 * G35 * 9159.986736</f>
        <v>17697.094373952004</v>
      </c>
      <c r="N35" s="26">
        <f>SUM(H35:M35)</f>
        <v>268794.50995807204</v>
      </c>
      <c r="O35" s="29">
        <v>4.1009781209274996</v>
      </c>
    </row>
    <row r="36" spans="2:15">
      <c r="B36" s="17">
        <v>19</v>
      </c>
      <c r="C36" s="18" t="s">
        <v>94</v>
      </c>
      <c r="D36" s="19" t="s">
        <v>95</v>
      </c>
      <c r="E36" s="19" t="s">
        <v>96</v>
      </c>
      <c r="F36" s="20">
        <v>9.66</v>
      </c>
      <c r="G36" s="21">
        <v>0.2</v>
      </c>
      <c r="H36" s="22">
        <f>F36 * G36 * 6868.288858</f>
        <v>13269.534073656001</v>
      </c>
      <c r="I36" s="22">
        <f>F36 * G36 * 167.041098</f>
        <v>322.72340133600005</v>
      </c>
      <c r="J36" s="22">
        <f>F36 * G36 * 0</f>
        <v>0</v>
      </c>
      <c r="K36" s="22">
        <f>F36 * G36 * 6538.610993</f>
        <v>12632.596438476001</v>
      </c>
      <c r="L36" s="22">
        <f>F36 * G36 * 1576.971665</f>
        <v>3046.7092567800005</v>
      </c>
      <c r="M36" s="22">
        <f>F36 * G36 * 1373.657772</f>
        <v>2653.9068155040004</v>
      </c>
      <c r="N36" s="26">
        <f>SUM(H36:M36)</f>
        <v>31925.469985752003</v>
      </c>
      <c r="O36" s="29">
        <v>0.48708455367008424</v>
      </c>
    </row>
    <row r="37" spans="2:15" ht="51">
      <c r="B37" s="17">
        <v>20</v>
      </c>
      <c r="C37" s="18" t="s">
        <v>97</v>
      </c>
      <c r="D37" s="19" t="s">
        <v>98</v>
      </c>
      <c r="E37" s="19" t="s">
        <v>88</v>
      </c>
      <c r="F37" s="20">
        <v>9.66</v>
      </c>
      <c r="G37" s="21">
        <v>0.2</v>
      </c>
      <c r="H37" s="22">
        <f>F37 * G37 * 7724.334416</f>
        <v>14923.414091712</v>
      </c>
      <c r="I37" s="22">
        <f>F37 * G37 * 13792.295706</f>
        <v>26646.715303992005</v>
      </c>
      <c r="J37" s="22">
        <f>F37 * G37 * 0</f>
        <v>0</v>
      </c>
      <c r="K37" s="22">
        <f>F37 * G37 * 7353.566364</f>
        <v>14207.090215248001</v>
      </c>
      <c r="L37" s="22">
        <f>F37 * G37 * 3208.789186</f>
        <v>6199.3807073520002</v>
      </c>
      <c r="M37" s="22">
        <f>F37 * G37 * 1544.866883</f>
        <v>2984.6828179560002</v>
      </c>
      <c r="N37" s="26">
        <f>SUM(H37:M37)</f>
        <v>64961.283136260005</v>
      </c>
      <c r="O37" s="29">
        <v>0.99110953155529113</v>
      </c>
    </row>
    <row r="38" spans="2:15" ht="25.5">
      <c r="B38" s="17">
        <v>21</v>
      </c>
      <c r="C38" s="18" t="s">
        <v>99</v>
      </c>
      <c r="D38" s="19" t="s">
        <v>100</v>
      </c>
      <c r="E38" s="19" t="s">
        <v>101</v>
      </c>
      <c r="F38" s="20">
        <v>50</v>
      </c>
      <c r="G38" s="21">
        <v>0.2</v>
      </c>
      <c r="H38" s="22">
        <f>F38 * G38 * 160.657019</f>
        <v>1606.5701899999999</v>
      </c>
      <c r="I38" s="22">
        <f>F38 * G38 * 3486.691414</f>
        <v>34866.914140000001</v>
      </c>
      <c r="J38" s="22">
        <f>F38 * G38 * 0.049104</f>
        <v>0.49104000000000003</v>
      </c>
      <c r="K38" s="22">
        <f>F38 * G38 * 152.945482</f>
        <v>1529.4548199999999</v>
      </c>
      <c r="L38" s="22">
        <f>F38 * G38 * 404.326052</f>
        <v>4043.2605199999998</v>
      </c>
      <c r="M38" s="22">
        <f>F38 * G38 * 32.131404</f>
        <v>321.31404000000003</v>
      </c>
      <c r="N38" s="26">
        <f>SUM(H38:M38)</f>
        <v>42368.004749999993</v>
      </c>
      <c r="O38" s="29">
        <v>0.64640554055291088</v>
      </c>
    </row>
    <row r="39" spans="2:15" s="11" customFormat="1" ht="15">
      <c r="B39" s="12"/>
      <c r="C39" s="13" t="s">
        <v>102</v>
      </c>
      <c r="D39" s="41" t="s">
        <v>103</v>
      </c>
      <c r="E39" s="41"/>
      <c r="F39" s="41"/>
      <c r="G39" s="41"/>
      <c r="H39" s="41"/>
      <c r="I39" s="41"/>
      <c r="J39" s="41"/>
      <c r="K39" s="41"/>
      <c r="L39" s="41"/>
      <c r="M39" s="41"/>
      <c r="N39" s="42"/>
      <c r="O39" s="30"/>
    </row>
    <row r="40" spans="2:15" ht="38.25">
      <c r="B40" s="17">
        <v>22</v>
      </c>
      <c r="C40" s="18" t="s">
        <v>104</v>
      </c>
      <c r="D40" s="19" t="s">
        <v>105</v>
      </c>
      <c r="E40" s="19" t="s">
        <v>106</v>
      </c>
      <c r="F40" s="20">
        <v>0.02</v>
      </c>
      <c r="G40" s="21">
        <v>0.1</v>
      </c>
      <c r="H40" s="22">
        <f>F40 * G40 * 13596.493807</f>
        <v>27.192987614000003</v>
      </c>
      <c r="I40" s="22">
        <f>F40 * G40 * 3873.009844</f>
        <v>7.7460196880000005</v>
      </c>
      <c r="J40" s="22">
        <f>F40 * G40 * 0</f>
        <v>0</v>
      </c>
      <c r="K40" s="22">
        <f>F40 * G40 * 12943.862105</f>
        <v>25.887724210000002</v>
      </c>
      <c r="L40" s="22">
        <f>F40 * G40 * 3495.496107</f>
        <v>6.9909922140000003</v>
      </c>
      <c r="M40" s="22">
        <f>F40 * G40 * 2719.298761</f>
        <v>5.4385975220000002</v>
      </c>
      <c r="N40" s="26">
        <f>SUM(H40:M40)</f>
        <v>73.256321248000006</v>
      </c>
      <c r="O40" s="29">
        <v>1.1176663195410718E-3</v>
      </c>
    </row>
    <row r="41" spans="2:15" s="11" customFormat="1" ht="15">
      <c r="B41" s="12"/>
      <c r="C41" s="13" t="s">
        <v>107</v>
      </c>
      <c r="D41" s="41" t="s">
        <v>108</v>
      </c>
      <c r="E41" s="41"/>
      <c r="F41" s="41"/>
      <c r="G41" s="41"/>
      <c r="H41" s="41"/>
      <c r="I41" s="41"/>
      <c r="J41" s="41"/>
      <c r="K41" s="41"/>
      <c r="L41" s="41"/>
      <c r="M41" s="41"/>
      <c r="N41" s="42"/>
      <c r="O41" s="30"/>
    </row>
    <row r="42" spans="2:15" s="14" customFormat="1" ht="12.75">
      <c r="B42" s="15"/>
      <c r="C42" s="16" t="s">
        <v>109</v>
      </c>
      <c r="D42" s="43" t="s">
        <v>110</v>
      </c>
      <c r="E42" s="43"/>
      <c r="F42" s="43"/>
      <c r="G42" s="43"/>
      <c r="H42" s="43"/>
      <c r="I42" s="43"/>
      <c r="J42" s="43"/>
      <c r="K42" s="43"/>
      <c r="L42" s="43"/>
      <c r="M42" s="43"/>
      <c r="N42" s="44"/>
      <c r="O42" s="28"/>
    </row>
    <row r="43" spans="2:15">
      <c r="B43" s="17">
        <v>23</v>
      </c>
      <c r="C43" s="18" t="s">
        <v>111</v>
      </c>
      <c r="D43" s="19" t="s">
        <v>112</v>
      </c>
      <c r="E43" s="19" t="s">
        <v>113</v>
      </c>
      <c r="F43" s="20">
        <v>10</v>
      </c>
      <c r="G43" s="21">
        <v>0.2</v>
      </c>
      <c r="H43" s="22">
        <f>F43 * G43 * 212.970637</f>
        <v>425.94127400000002</v>
      </c>
      <c r="I43" s="22">
        <f>F43 * G43 * 140.059729</f>
        <v>280.11945800000001</v>
      </c>
      <c r="J43" s="22">
        <f>F43 * G43 * 0</f>
        <v>0</v>
      </c>
      <c r="K43" s="22">
        <f>F43 * G43 * 202.748046</f>
        <v>405.49609199999998</v>
      </c>
      <c r="L43" s="22">
        <f>F43 * G43 * 63.128303</f>
        <v>126.256606</v>
      </c>
      <c r="M43" s="22">
        <f>F43 * G43 * 42.594127</f>
        <v>85.188254000000001</v>
      </c>
      <c r="N43" s="26">
        <f>SUM(H43:M43)</f>
        <v>1323.0016839999998</v>
      </c>
      <c r="O43" s="29">
        <v>2.0184939643598191E-2</v>
      </c>
    </row>
    <row r="44" spans="2:15">
      <c r="B44" s="17">
        <v>24</v>
      </c>
      <c r="C44" s="18" t="s">
        <v>114</v>
      </c>
      <c r="D44" s="19" t="s">
        <v>115</v>
      </c>
      <c r="E44" s="19" t="s">
        <v>116</v>
      </c>
      <c r="F44" s="20">
        <v>0.2</v>
      </c>
      <c r="G44" s="21">
        <v>0.2</v>
      </c>
      <c r="H44" s="22">
        <f>F44 * G44 * 16164.511022</f>
        <v>646.5804408800002</v>
      </c>
      <c r="I44" s="22">
        <f>F44 * G44 * 5248.557189</f>
        <v>209.94228756000004</v>
      </c>
      <c r="J44" s="22">
        <f>F44 * G44 * 0</f>
        <v>0</v>
      </c>
      <c r="K44" s="22">
        <f>F44 * G44 * 15388.614493</f>
        <v>615.54457972000012</v>
      </c>
      <c r="L44" s="22">
        <f>F44 * G44 * 4223.648708</f>
        <v>168.94594832000001</v>
      </c>
      <c r="M44" s="22">
        <f>F44 * G44 * 3232.902204</f>
        <v>129.31608816000002</v>
      </c>
      <c r="N44" s="26">
        <f>SUM(H44:M44)</f>
        <v>1770.3293446400003</v>
      </c>
      <c r="O44" s="29">
        <v>2.7009784948126451E-2</v>
      </c>
    </row>
    <row r="45" spans="2:15" s="14" customFormat="1" ht="12.75">
      <c r="B45" s="15"/>
      <c r="C45" s="16" t="s">
        <v>117</v>
      </c>
      <c r="D45" s="43" t="s">
        <v>118</v>
      </c>
      <c r="E45" s="43"/>
      <c r="F45" s="43"/>
      <c r="G45" s="43"/>
      <c r="H45" s="43"/>
      <c r="I45" s="43"/>
      <c r="J45" s="43"/>
      <c r="K45" s="43"/>
      <c r="L45" s="43"/>
      <c r="M45" s="43"/>
      <c r="N45" s="44"/>
      <c r="O45" s="28"/>
    </row>
    <row r="46" spans="2:15">
      <c r="B46" s="17">
        <v>25</v>
      </c>
      <c r="C46" s="18" t="s">
        <v>119</v>
      </c>
      <c r="D46" s="19" t="s">
        <v>120</v>
      </c>
      <c r="E46" s="19" t="s">
        <v>116</v>
      </c>
      <c r="F46" s="20">
        <v>5.8</v>
      </c>
      <c r="G46" s="21">
        <v>0.2</v>
      </c>
      <c r="H46" s="22">
        <f>F46 * G46 * 5151.216643</f>
        <v>5975.4113058799994</v>
      </c>
      <c r="I46" s="22">
        <f>F46 * G46 * 2870.101368</f>
        <v>3329.3175868799999</v>
      </c>
      <c r="J46" s="22">
        <f>F46 * G46 * 0</f>
        <v>0</v>
      </c>
      <c r="K46" s="22">
        <f>F46 * G46 * 4903.95824399999</f>
        <v>5688.5915630399886</v>
      </c>
      <c r="L46" s="22">
        <f>F46 * G46 * 1472.307316</f>
        <v>1707.8764865599999</v>
      </c>
      <c r="M46" s="22">
        <f>F46 * G46 * 1030.243329</f>
        <v>1195.0822616399998</v>
      </c>
      <c r="N46" s="26">
        <f>SUM(H46:M46)</f>
        <v>17896.279203999988</v>
      </c>
      <c r="O46" s="29">
        <v>0.27304221902843873</v>
      </c>
    </row>
    <row r="47" spans="2:15">
      <c r="B47" s="17">
        <v>26</v>
      </c>
      <c r="C47" s="18" t="s">
        <v>121</v>
      </c>
      <c r="D47" s="19" t="s">
        <v>122</v>
      </c>
      <c r="E47" s="19" t="s">
        <v>116</v>
      </c>
      <c r="F47" s="20">
        <v>0.108</v>
      </c>
      <c r="G47" s="21">
        <v>0.2</v>
      </c>
      <c r="H47" s="22">
        <f>F47 * G47 * 8518.825469</f>
        <v>184.0066301304</v>
      </c>
      <c r="I47" s="22">
        <f>F47 * G47 * 5234.768898</f>
        <v>113.07100819680001</v>
      </c>
      <c r="J47" s="22">
        <f>F47 * G47 * 0</f>
        <v>0</v>
      </c>
      <c r="K47" s="22">
        <f>F47 * G47 * 8109.921847</f>
        <v>175.17431189519999</v>
      </c>
      <c r="L47" s="22">
        <f>F47 * G47 * 2486.34817799999</f>
        <v>53.705120644799791</v>
      </c>
      <c r="M47" s="22">
        <f>F47 * G47 * 1703.765094</f>
        <v>36.801326030400006</v>
      </c>
      <c r="N47" s="26">
        <f>SUM(H47:M47)</f>
        <v>562.75839689759982</v>
      </c>
      <c r="O47" s="29">
        <v>8.5859635801537864E-3</v>
      </c>
    </row>
    <row r="48" spans="2:15" s="14" customFormat="1" ht="12.75">
      <c r="B48" s="15"/>
      <c r="C48" s="16" t="s">
        <v>123</v>
      </c>
      <c r="D48" s="43" t="s">
        <v>124</v>
      </c>
      <c r="E48" s="43"/>
      <c r="F48" s="43"/>
      <c r="G48" s="43"/>
      <c r="H48" s="43"/>
      <c r="I48" s="43"/>
      <c r="J48" s="43"/>
      <c r="K48" s="43"/>
      <c r="L48" s="43"/>
      <c r="M48" s="43"/>
      <c r="N48" s="44"/>
      <c r="O48" s="28"/>
    </row>
    <row r="49" spans="2:15">
      <c r="B49" s="17">
        <v>27</v>
      </c>
      <c r="C49" s="18" t="s">
        <v>125</v>
      </c>
      <c r="D49" s="19" t="s">
        <v>126</v>
      </c>
      <c r="E49" s="19" t="s">
        <v>127</v>
      </c>
      <c r="F49" s="20">
        <v>20</v>
      </c>
      <c r="G49" s="21">
        <v>0.2</v>
      </c>
      <c r="H49" s="22">
        <f>F49 * G49 * 128.780416</f>
        <v>515.12166400000001</v>
      </c>
      <c r="I49" s="22">
        <f>F49 * G49 * 131.697258</f>
        <v>526.78903200000002</v>
      </c>
      <c r="J49" s="22">
        <f>F49 * G49 * 0</f>
        <v>0</v>
      </c>
      <c r="K49" s="22">
        <f>F49 * G49 * 122.598955999999</f>
        <v>490.39582399999603</v>
      </c>
      <c r="L49" s="22">
        <f>F49 * G49 * 43.131852</f>
        <v>172.52740800000001</v>
      </c>
      <c r="M49" s="22">
        <f>F49 * G49 * 25.756083</f>
        <v>103.024332</v>
      </c>
      <c r="N49" s="26">
        <f>SUM(H49:M49)</f>
        <v>1807.8582599999959</v>
      </c>
      <c r="O49" s="29">
        <v>2.7582360856828938E-2</v>
      </c>
    </row>
    <row r="50" spans="2:15">
      <c r="B50" s="17">
        <v>28</v>
      </c>
      <c r="C50" s="18" t="s">
        <v>128</v>
      </c>
      <c r="D50" s="19" t="s">
        <v>129</v>
      </c>
      <c r="E50" s="19" t="s">
        <v>130</v>
      </c>
      <c r="F50" s="20">
        <v>0.2</v>
      </c>
      <c r="G50" s="21">
        <v>0.2</v>
      </c>
      <c r="H50" s="22">
        <f>F50 * G50 * 69.495681</f>
        <v>2.7798272400000008</v>
      </c>
      <c r="I50" s="22">
        <f>F50 * G50 * 82.078031</f>
        <v>3.2831212400000003</v>
      </c>
      <c r="J50" s="22">
        <f>F50 * G50 * 0</f>
        <v>0</v>
      </c>
      <c r="K50" s="22">
        <f>F50 * G50 * 66.1598889999999</f>
        <v>2.6463955599999962</v>
      </c>
      <c r="L50" s="22">
        <f>F50 * G50 * 24.437254</f>
        <v>0.97749016000000022</v>
      </c>
      <c r="M50" s="22">
        <f>F50 * G50 * 13.899136</f>
        <v>0.55596544000000014</v>
      </c>
      <c r="N50" s="26">
        <f>SUM(H50:M50)</f>
        <v>10.242799639999998</v>
      </c>
      <c r="O50" s="29">
        <v>1.5627364274380565E-4</v>
      </c>
    </row>
    <row r="51" spans="2:15">
      <c r="B51" s="17">
        <v>29</v>
      </c>
      <c r="C51" s="18" t="s">
        <v>131</v>
      </c>
      <c r="D51" s="19" t="s">
        <v>132</v>
      </c>
      <c r="E51" s="19" t="s">
        <v>113</v>
      </c>
      <c r="F51" s="20">
        <v>10</v>
      </c>
      <c r="G51" s="21">
        <v>0.2</v>
      </c>
      <c r="H51" s="22">
        <f>F51 * G51 * 297.699569</f>
        <v>595.39913799999999</v>
      </c>
      <c r="I51" s="22">
        <f>F51 * G51 * 7.351808</f>
        <v>14.703616</v>
      </c>
      <c r="J51" s="22">
        <f>F51 * G51 * 0</f>
        <v>0</v>
      </c>
      <c r="K51" s="22">
        <f>F51 * G51 * 283.40999</f>
        <v>566.81997999999999</v>
      </c>
      <c r="L51" s="22">
        <f>F51 * G51 * 68.3641349999999</f>
        <v>136.72826999999981</v>
      </c>
      <c r="M51" s="22">
        <f>F51 * G51 * 59.539914</f>
        <v>119.07982800000001</v>
      </c>
      <c r="N51" s="26">
        <f>SUM(H51:M51)</f>
        <v>1432.7308319999997</v>
      </c>
      <c r="O51" s="29">
        <v>2.1859069205419256E-2</v>
      </c>
    </row>
    <row r="52" spans="2:15" s="11" customFormat="1" ht="15">
      <c r="B52" s="12"/>
      <c r="C52" s="13" t="s">
        <v>133</v>
      </c>
      <c r="D52" s="41" t="s">
        <v>134</v>
      </c>
      <c r="E52" s="41"/>
      <c r="F52" s="41"/>
      <c r="G52" s="41"/>
      <c r="H52" s="41"/>
      <c r="I52" s="41"/>
      <c r="J52" s="41"/>
      <c r="K52" s="41"/>
      <c r="L52" s="41"/>
      <c r="M52" s="41"/>
      <c r="N52" s="42"/>
      <c r="O52" s="30"/>
    </row>
    <row r="53" spans="2:15" s="14" customFormat="1" ht="12.75">
      <c r="B53" s="15"/>
      <c r="C53" s="16" t="s">
        <v>135</v>
      </c>
      <c r="D53" s="43" t="s">
        <v>136</v>
      </c>
      <c r="E53" s="43"/>
      <c r="F53" s="43"/>
      <c r="G53" s="43"/>
      <c r="H53" s="43"/>
      <c r="I53" s="43"/>
      <c r="J53" s="43"/>
      <c r="K53" s="43"/>
      <c r="L53" s="43"/>
      <c r="M53" s="43"/>
      <c r="N53" s="44"/>
      <c r="O53" s="28"/>
    </row>
    <row r="54" spans="2:15" s="14" customFormat="1" ht="12.75">
      <c r="B54" s="15"/>
      <c r="C54" s="16" t="s">
        <v>137</v>
      </c>
      <c r="D54" s="45" t="s">
        <v>138</v>
      </c>
      <c r="E54" s="45"/>
      <c r="F54" s="45"/>
      <c r="G54" s="45"/>
      <c r="H54" s="45"/>
      <c r="I54" s="45"/>
      <c r="J54" s="45"/>
      <c r="K54" s="45"/>
      <c r="L54" s="45"/>
      <c r="M54" s="45"/>
      <c r="N54" s="46"/>
      <c r="O54" s="31"/>
    </row>
    <row r="55" spans="2:15" ht="25.5">
      <c r="B55" s="17">
        <v>30</v>
      </c>
      <c r="C55" s="18" t="s">
        <v>139</v>
      </c>
      <c r="D55" s="19" t="s">
        <v>140</v>
      </c>
      <c r="E55" s="19" t="s">
        <v>141</v>
      </c>
      <c r="F55" s="20">
        <v>0.89500000000000002</v>
      </c>
      <c r="G55" s="21">
        <v>1</v>
      </c>
      <c r="H55" s="22">
        <f>F55 * G55 * 10517.067313</f>
        <v>9412.7752451350007</v>
      </c>
      <c r="I55" s="22">
        <f>F55 * G55 * 71084.646478</f>
        <v>63620.758597809996</v>
      </c>
      <c r="J55" s="22">
        <f>F55 * G55 * 0</f>
        <v>0</v>
      </c>
      <c r="K55" s="22">
        <f>F55 * G55 * 10012.248082</f>
        <v>8960.9620333900002</v>
      </c>
      <c r="L55" s="22">
        <f>F55 * G55 * 9887.183098</f>
        <v>8849.0288727099996</v>
      </c>
      <c r="M55" s="22">
        <f>F55 * G55 * 2103.413463</f>
        <v>1882.5550493849998</v>
      </c>
      <c r="N55" s="26">
        <f>SUM(H55:M55)</f>
        <v>92726.079798429986</v>
      </c>
      <c r="O55" s="29">
        <v>1.4147149975349382</v>
      </c>
    </row>
    <row r="56" spans="2:15" s="14" customFormat="1" ht="12.75">
      <c r="B56" s="15"/>
      <c r="C56" s="16" t="s">
        <v>142</v>
      </c>
      <c r="D56" s="43" t="s">
        <v>143</v>
      </c>
      <c r="E56" s="43"/>
      <c r="F56" s="43"/>
      <c r="G56" s="43"/>
      <c r="H56" s="43"/>
      <c r="I56" s="43"/>
      <c r="J56" s="43"/>
      <c r="K56" s="43"/>
      <c r="L56" s="43"/>
      <c r="M56" s="43"/>
      <c r="N56" s="44"/>
      <c r="O56" s="28"/>
    </row>
    <row r="57" spans="2:15" s="14" customFormat="1" ht="12.75">
      <c r="B57" s="15"/>
      <c r="C57" s="16" t="s">
        <v>144</v>
      </c>
      <c r="D57" s="45" t="s">
        <v>145</v>
      </c>
      <c r="E57" s="45"/>
      <c r="F57" s="45"/>
      <c r="G57" s="45"/>
      <c r="H57" s="45"/>
      <c r="I57" s="45"/>
      <c r="J57" s="45"/>
      <c r="K57" s="45"/>
      <c r="L57" s="45"/>
      <c r="M57" s="45"/>
      <c r="N57" s="46"/>
      <c r="O57" s="31"/>
    </row>
    <row r="58" spans="2:15" s="14" customFormat="1" ht="12.75">
      <c r="B58" s="15"/>
      <c r="C58" s="16" t="s">
        <v>146</v>
      </c>
      <c r="D58" s="47" t="s">
        <v>147</v>
      </c>
      <c r="E58" s="47"/>
      <c r="F58" s="47"/>
      <c r="G58" s="47"/>
      <c r="H58" s="47"/>
      <c r="I58" s="47"/>
      <c r="J58" s="47"/>
      <c r="K58" s="47"/>
      <c r="L58" s="47"/>
      <c r="M58" s="47"/>
      <c r="N58" s="48"/>
      <c r="O58" s="32"/>
    </row>
    <row r="59" spans="2:15" ht="25.5">
      <c r="B59" s="17">
        <v>31</v>
      </c>
      <c r="C59" s="18" t="s">
        <v>148</v>
      </c>
      <c r="D59" s="19" t="s">
        <v>140</v>
      </c>
      <c r="E59" s="19" t="s">
        <v>141</v>
      </c>
      <c r="F59" s="20">
        <v>5.9669999999999996</v>
      </c>
      <c r="G59" s="21">
        <v>0.1</v>
      </c>
      <c r="H59" s="22">
        <f>F59 * G59 * 10517.067313</f>
        <v>6275.5340656670996</v>
      </c>
      <c r="I59" s="22">
        <f>F59 * G59 * 70863.793891</f>
        <v>42284.425814759699</v>
      </c>
      <c r="J59" s="22">
        <f>F59 * G59 * 0</f>
        <v>0</v>
      </c>
      <c r="K59" s="22">
        <f>F59 * G59 * 10012.248082</f>
        <v>5974.3084305294005</v>
      </c>
      <c r="L59" s="22">
        <f>F59 * G59 * 9863.88315</f>
        <v>5885.7790756049999</v>
      </c>
      <c r="M59" s="22">
        <f>F59 * G59 * 2103.413463</f>
        <v>1255.1068133720999</v>
      </c>
      <c r="N59" s="26">
        <f>SUM(H59:M59)</f>
        <v>61675.154199933306</v>
      </c>
      <c r="O59" s="29">
        <v>0.94097330342873953</v>
      </c>
    </row>
    <row r="60" spans="2:15" ht="25.5">
      <c r="B60" s="17">
        <v>32</v>
      </c>
      <c r="C60" s="18" t="s">
        <v>149</v>
      </c>
      <c r="D60" s="19" t="s">
        <v>150</v>
      </c>
      <c r="E60" s="19" t="s">
        <v>151</v>
      </c>
      <c r="F60" s="20">
        <v>2</v>
      </c>
      <c r="G60" s="21">
        <v>0.1</v>
      </c>
      <c r="H60" s="22">
        <f>F60 * G60 * 16312.186037</f>
        <v>3262.4372074000003</v>
      </c>
      <c r="I60" s="22">
        <f>F60 * G60 * 30252.376294</f>
        <v>6050.475258800001</v>
      </c>
      <c r="J60" s="22">
        <f>F60 * G60 * 4.87872</f>
        <v>0.97574400000000017</v>
      </c>
      <c r="K60" s="22">
        <f>F60 * G60 * 15529.201107</f>
        <v>3105.8402214000002</v>
      </c>
      <c r="L60" s="22">
        <f>F60 * G60 * 6895.593873</f>
        <v>1379.1187746000001</v>
      </c>
      <c r="M60" s="22">
        <f>F60 * G60 * 3262.437207</f>
        <v>652.48744140000008</v>
      </c>
      <c r="N60" s="26">
        <f>SUM(H60:M60)</f>
        <v>14451.334647600001</v>
      </c>
      <c r="O60" s="29">
        <v>0.22048295263639694</v>
      </c>
    </row>
    <row r="61" spans="2:15" ht="25.5">
      <c r="B61" s="17">
        <v>33</v>
      </c>
      <c r="C61" s="18" t="s">
        <v>152</v>
      </c>
      <c r="D61" s="19" t="s">
        <v>153</v>
      </c>
      <c r="E61" s="19" t="s">
        <v>154</v>
      </c>
      <c r="F61" s="20">
        <v>20</v>
      </c>
      <c r="G61" s="21">
        <v>0.1</v>
      </c>
      <c r="H61" s="22">
        <f>F61 * G61 * 89.380414</f>
        <v>178.760828</v>
      </c>
      <c r="I61" s="22">
        <f>F61 * G61 * 303.168894</f>
        <v>606.33778800000005</v>
      </c>
      <c r="J61" s="22">
        <f>F61 * G61 * 0.049562</f>
        <v>9.9124000000000004E-2</v>
      </c>
      <c r="K61" s="22">
        <f>F61 * G61 * 85.090154</f>
        <v>170.180308</v>
      </c>
      <c r="L61" s="22">
        <f>F61 * G61 * 52.282119</f>
        <v>104.564238</v>
      </c>
      <c r="M61" s="22">
        <f>F61 * G61 * 17.876083</f>
        <v>35.752166000000003</v>
      </c>
      <c r="N61" s="26">
        <f>SUM(H61:M61)</f>
        <v>1095.694452</v>
      </c>
      <c r="O61" s="29">
        <v>1.6716929879165138E-2</v>
      </c>
    </row>
    <row r="62" spans="2:15" s="14" customFormat="1" ht="12.75">
      <c r="B62" s="15"/>
      <c r="C62" s="16" t="s">
        <v>155</v>
      </c>
      <c r="D62" s="43" t="s">
        <v>156</v>
      </c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28"/>
    </row>
    <row r="63" spans="2:15" s="14" customFormat="1" ht="12.75">
      <c r="B63" s="15"/>
      <c r="C63" s="16" t="s">
        <v>157</v>
      </c>
      <c r="D63" s="45" t="s">
        <v>158</v>
      </c>
      <c r="E63" s="45"/>
      <c r="F63" s="45"/>
      <c r="G63" s="45"/>
      <c r="H63" s="45"/>
      <c r="I63" s="45"/>
      <c r="J63" s="45"/>
      <c r="K63" s="45"/>
      <c r="L63" s="45"/>
      <c r="M63" s="45"/>
      <c r="N63" s="46"/>
      <c r="O63" s="31"/>
    </row>
    <row r="64" spans="2:15" ht="25.5">
      <c r="B64" s="17">
        <v>34</v>
      </c>
      <c r="C64" s="18" t="s">
        <v>159</v>
      </c>
      <c r="D64" s="19" t="s">
        <v>160</v>
      </c>
      <c r="E64" s="19" t="s">
        <v>161</v>
      </c>
      <c r="F64" s="20">
        <v>0.2</v>
      </c>
      <c r="G64" s="21">
        <v>0.1</v>
      </c>
      <c r="H64" s="22">
        <f>F64 * G64 * 41473.229256</f>
        <v>829.46458512000015</v>
      </c>
      <c r="I64" s="22">
        <f>F64 * G64 * 54570.95176</f>
        <v>1091.4190352000003</v>
      </c>
      <c r="J64" s="22">
        <f>F64 * G64 * 0</f>
        <v>0</v>
      </c>
      <c r="K64" s="22">
        <f>F64 * G64 * 39482.514251</f>
        <v>789.65028502000018</v>
      </c>
      <c r="L64" s="22">
        <f>F64 * G64 * 15173.151488</f>
        <v>303.46302976000004</v>
      </c>
      <c r="M64" s="22">
        <f>F64 * G64 * 8294.645851</f>
        <v>165.89291702000003</v>
      </c>
      <c r="N64" s="26">
        <f>SUM(H64:M64)</f>
        <v>3179.8898521200003</v>
      </c>
      <c r="O64" s="29">
        <v>4.8515346212010257E-2</v>
      </c>
    </row>
    <row r="65" spans="2:15" ht="25.5">
      <c r="B65" s="17">
        <v>35</v>
      </c>
      <c r="C65" s="18" t="s">
        <v>162</v>
      </c>
      <c r="D65" s="19" t="s">
        <v>163</v>
      </c>
      <c r="E65" s="19" t="s">
        <v>164</v>
      </c>
      <c r="F65" s="20">
        <v>0.6</v>
      </c>
      <c r="G65" s="21">
        <v>0.1</v>
      </c>
      <c r="H65" s="22">
        <f>F65 * G65 * 11433.160498</f>
        <v>685.98962987999994</v>
      </c>
      <c r="I65" s="22">
        <f>F65 * G65 * 16197.250538</f>
        <v>971.83503227999995</v>
      </c>
      <c r="J65" s="22">
        <f>F65 * G65 * 0</f>
        <v>0</v>
      </c>
      <c r="K65" s="22">
        <f>F65 * G65 * 10884.368794</f>
        <v>653.06212763999997</v>
      </c>
      <c r="L65" s="22">
        <f>F65 * G65 * 4304.548959</f>
        <v>258.27293753999999</v>
      </c>
      <c r="M65" s="22">
        <f>F65 * G65 * 2286.6321</f>
        <v>137.197926</v>
      </c>
      <c r="N65" s="26">
        <f>SUM(H65:M65)</f>
        <v>2706.3576533399996</v>
      </c>
      <c r="O65" s="29">
        <v>4.1290700191321854E-2</v>
      </c>
    </row>
    <row r="66" spans="2:15" s="14" customFormat="1" ht="12.75">
      <c r="B66" s="15"/>
      <c r="C66" s="16" t="s">
        <v>165</v>
      </c>
      <c r="D66" s="43" t="s">
        <v>166</v>
      </c>
      <c r="E66" s="43"/>
      <c r="F66" s="43"/>
      <c r="G66" s="43"/>
      <c r="H66" s="43"/>
      <c r="I66" s="43"/>
      <c r="J66" s="43"/>
      <c r="K66" s="43"/>
      <c r="L66" s="43"/>
      <c r="M66" s="43"/>
      <c r="N66" s="44"/>
      <c r="O66" s="28"/>
    </row>
    <row r="67" spans="2:15" s="14" customFormat="1" ht="12.75">
      <c r="B67" s="15"/>
      <c r="C67" s="16" t="s">
        <v>167</v>
      </c>
      <c r="D67" s="45" t="s">
        <v>168</v>
      </c>
      <c r="E67" s="45"/>
      <c r="F67" s="45"/>
      <c r="G67" s="45"/>
      <c r="H67" s="45"/>
      <c r="I67" s="45"/>
      <c r="J67" s="45"/>
      <c r="K67" s="45"/>
      <c r="L67" s="45"/>
      <c r="M67" s="45"/>
      <c r="N67" s="46"/>
      <c r="O67" s="31"/>
    </row>
    <row r="68" spans="2:15" ht="25.5">
      <c r="B68" s="17">
        <v>36</v>
      </c>
      <c r="C68" s="18" t="s">
        <v>169</v>
      </c>
      <c r="D68" s="19" t="s">
        <v>170</v>
      </c>
      <c r="E68" s="19" t="s">
        <v>171</v>
      </c>
      <c r="F68" s="20">
        <v>0.2</v>
      </c>
      <c r="G68" s="21">
        <v>0.1</v>
      </c>
      <c r="H68" s="22">
        <f>F68 * G68 * 14369.913488</f>
        <v>287.39826976000006</v>
      </c>
      <c r="I68" s="22">
        <f>F68 * G68 * 0</f>
        <v>0</v>
      </c>
      <c r="J68" s="22">
        <f>F68 * G68 * 907.1744</f>
        <v>18.143488000000005</v>
      </c>
      <c r="K68" s="22">
        <f>F68 * G68 * 14074.7808709999</f>
        <v>281.4956174199981</v>
      </c>
      <c r="L68" s="22">
        <f>F68 * G68 * 3408.573704</f>
        <v>68.17147408000001</v>
      </c>
      <c r="M68" s="22">
        <f>F68 * G68 * 2956.886738</f>
        <v>59.137734760000015</v>
      </c>
      <c r="N68" s="26">
        <f>SUM(H68:M68)</f>
        <v>714.34658401999832</v>
      </c>
      <c r="O68" s="29">
        <v>1.0898733431282776E-2</v>
      </c>
    </row>
    <row r="69" spans="2:15">
      <c r="B69" s="17">
        <v>37</v>
      </c>
      <c r="C69" s="18" t="s">
        <v>172</v>
      </c>
      <c r="D69" s="19" t="s">
        <v>173</v>
      </c>
      <c r="E69" s="19" t="s">
        <v>174</v>
      </c>
      <c r="F69" s="20">
        <v>4</v>
      </c>
      <c r="G69" s="21">
        <v>1</v>
      </c>
      <c r="H69" s="22">
        <f>F69 * G69 * 403.523312</f>
        <v>1614.0932479999999</v>
      </c>
      <c r="I69" s="22">
        <f>F69 * G69 * 119.395596</f>
        <v>477.58238399999999</v>
      </c>
      <c r="J69" s="22">
        <f>F69 * G69 * 0</f>
        <v>0</v>
      </c>
      <c r="K69" s="22">
        <f>F69 * G69 * 384.154192999999</f>
        <v>1536.616771999996</v>
      </c>
      <c r="L69" s="22">
        <f>F69 * G69 * 104.210554</f>
        <v>416.84221600000001</v>
      </c>
      <c r="M69" s="22">
        <f>F69 * G69 * 80.704662</f>
        <v>322.818648</v>
      </c>
      <c r="N69" s="26">
        <f>SUM(H69:M69)</f>
        <v>4367.9532679999966</v>
      </c>
      <c r="O69" s="29">
        <v>6.6641542597339135E-2</v>
      </c>
    </row>
    <row r="70" spans="2:15">
      <c r="B70" s="17">
        <v>38</v>
      </c>
      <c r="C70" s="18" t="s">
        <v>175</v>
      </c>
      <c r="D70" s="19" t="s">
        <v>176</v>
      </c>
      <c r="E70" s="19" t="s">
        <v>177</v>
      </c>
      <c r="F70" s="20">
        <v>0.2</v>
      </c>
      <c r="G70" s="21">
        <v>0.1</v>
      </c>
      <c r="H70" s="22">
        <f>F70 * G70 * 32099.905181</f>
        <v>641.99810362000005</v>
      </c>
      <c r="I70" s="22">
        <f>F70 * G70 * 9512.934194</f>
        <v>190.25868388000004</v>
      </c>
      <c r="J70" s="22">
        <f>F70 * G70 * 8.5184</f>
        <v>0.17036800000000002</v>
      </c>
      <c r="K70" s="22">
        <f>F70 * G70 * 30559.1097329999</f>
        <v>611.18219465999812</v>
      </c>
      <c r="L70" s="22">
        <f>F70 * G70 * 8292.347322</f>
        <v>165.84694644000001</v>
      </c>
      <c r="M70" s="22">
        <f>F70 * G70 * 6419.981036</f>
        <v>128.39962072000003</v>
      </c>
      <c r="N70" s="26">
        <f>SUM(H70:M70)</f>
        <v>1737.8559173199983</v>
      </c>
      <c r="O70" s="29">
        <v>2.6514340249603294E-2</v>
      </c>
    </row>
    <row r="71" spans="2:15" s="14" customFormat="1" ht="12.75">
      <c r="B71" s="15"/>
      <c r="C71" s="16" t="s">
        <v>178</v>
      </c>
      <c r="D71" s="43" t="s">
        <v>179</v>
      </c>
      <c r="E71" s="43"/>
      <c r="F71" s="43"/>
      <c r="G71" s="43"/>
      <c r="H71" s="43"/>
      <c r="I71" s="43"/>
      <c r="J71" s="43"/>
      <c r="K71" s="43"/>
      <c r="L71" s="43"/>
      <c r="M71" s="43"/>
      <c r="N71" s="44"/>
      <c r="O71" s="28"/>
    </row>
    <row r="72" spans="2:15" ht="25.5">
      <c r="B72" s="17">
        <v>39</v>
      </c>
      <c r="C72" s="18" t="s">
        <v>180</v>
      </c>
      <c r="D72" s="19" t="s">
        <v>181</v>
      </c>
      <c r="E72" s="19" t="s">
        <v>182</v>
      </c>
      <c r="F72" s="20">
        <v>0.4</v>
      </c>
      <c r="G72" s="21">
        <v>0.1</v>
      </c>
      <c r="H72" s="22">
        <f>F72 * G72 * 9443.897179</f>
        <v>377.75588716000004</v>
      </c>
      <c r="I72" s="22">
        <f>F72 * G72 * 5371.40334</f>
        <v>214.85613360000005</v>
      </c>
      <c r="J72" s="22">
        <f>F72 * G72 * 0</f>
        <v>0</v>
      </c>
      <c r="K72" s="22">
        <f>F72 * G72 * 8990.590114</f>
        <v>359.6236045600001</v>
      </c>
      <c r="L72" s="22">
        <f>F72 * G72 * 2710.787692</f>
        <v>108.43150768000001</v>
      </c>
      <c r="M72" s="22">
        <f>F72 * G72 * 1888.779436</f>
        <v>75.551177440000018</v>
      </c>
      <c r="N72" s="26">
        <f>SUM(H72:M72)</f>
        <v>1136.2183104400001</v>
      </c>
      <c r="O72" s="29">
        <v>1.7335199414744294E-2</v>
      </c>
    </row>
    <row r="73" spans="2:15" ht="38.25">
      <c r="B73" s="17">
        <v>40</v>
      </c>
      <c r="C73" s="18" t="s">
        <v>183</v>
      </c>
      <c r="D73" s="19" t="s">
        <v>184</v>
      </c>
      <c r="E73" s="19" t="s">
        <v>72</v>
      </c>
      <c r="F73" s="20">
        <v>0.04</v>
      </c>
      <c r="G73" s="21">
        <v>0.2</v>
      </c>
      <c r="H73" s="22">
        <f>F73 * G73 * 34349.95026</f>
        <v>274.79960208</v>
      </c>
      <c r="I73" s="22">
        <f>F73 * G73 * 13595.225866</f>
        <v>108.76180692800001</v>
      </c>
      <c r="J73" s="22">
        <f>F73 * G73 * 0</f>
        <v>0</v>
      </c>
      <c r="K73" s="22">
        <f>F73 * G73 * 32701.152648</f>
        <v>261.60922118399998</v>
      </c>
      <c r="L73" s="22">
        <f>F73 * G73 * 9232.971636</f>
        <v>73.863773088000002</v>
      </c>
      <c r="M73" s="22">
        <f>F73 * G73 * 6869.990052</f>
        <v>54.959920416000003</v>
      </c>
      <c r="N73" s="26">
        <f>SUM(H73:M73)</f>
        <v>773.99432369600004</v>
      </c>
      <c r="O73" s="29">
        <v>1.1808774620041498E-2</v>
      </c>
    </row>
    <row r="74" spans="2:15" s="14" customFormat="1" ht="12.75">
      <c r="B74" s="15"/>
      <c r="C74" s="16" t="s">
        <v>185</v>
      </c>
      <c r="D74" s="43" t="s">
        <v>186</v>
      </c>
      <c r="E74" s="43"/>
      <c r="F74" s="43"/>
      <c r="G74" s="43"/>
      <c r="H74" s="43"/>
      <c r="I74" s="43"/>
      <c r="J74" s="43"/>
      <c r="K74" s="43"/>
      <c r="L74" s="43"/>
      <c r="M74" s="43"/>
      <c r="N74" s="44"/>
      <c r="O74" s="28"/>
    </row>
    <row r="75" spans="2:15" ht="25.5">
      <c r="B75" s="17">
        <v>41</v>
      </c>
      <c r="C75" s="18" t="s">
        <v>187</v>
      </c>
      <c r="D75" s="19" t="s">
        <v>188</v>
      </c>
      <c r="E75" s="19" t="s">
        <v>189</v>
      </c>
      <c r="F75" s="20">
        <v>0.2</v>
      </c>
      <c r="G75" s="21">
        <v>0.1</v>
      </c>
      <c r="H75" s="22">
        <f>F75 * G75 * 25326.815162</f>
        <v>506.53630324000005</v>
      </c>
      <c r="I75" s="22">
        <f>F75 * G75 * 51616.683902</f>
        <v>1032.3336780400002</v>
      </c>
      <c r="J75" s="22">
        <f>F75 * G75 * 0</f>
        <v>0</v>
      </c>
      <c r="K75" s="22">
        <f>F75 * G75 * 24111.1280339999</f>
        <v>482.22256067999808</v>
      </c>
      <c r="L75" s="22">
        <f>F75 * G75 * 11195.658959</f>
        <v>223.91317918000004</v>
      </c>
      <c r="M75" s="22">
        <f>F75 * G75 * 5065.363032</f>
        <v>101.30726064000002</v>
      </c>
      <c r="N75" s="26">
        <f>SUM(H75:M75)</f>
        <v>2346.3129817799986</v>
      </c>
      <c r="O75" s="29">
        <v>3.5797525048517007E-2</v>
      </c>
    </row>
    <row r="76" spans="2:15" s="14" customFormat="1" ht="12.75">
      <c r="B76" s="15"/>
      <c r="C76" s="16" t="s">
        <v>190</v>
      </c>
      <c r="D76" s="43" t="s">
        <v>191</v>
      </c>
      <c r="E76" s="43"/>
      <c r="F76" s="43"/>
      <c r="G76" s="43"/>
      <c r="H76" s="43"/>
      <c r="I76" s="43"/>
      <c r="J76" s="43"/>
      <c r="K76" s="43"/>
      <c r="L76" s="43"/>
      <c r="M76" s="43"/>
      <c r="N76" s="44"/>
      <c r="O76" s="28"/>
    </row>
    <row r="77" spans="2:15">
      <c r="B77" s="17">
        <v>42</v>
      </c>
      <c r="C77" s="18" t="s">
        <v>192</v>
      </c>
      <c r="D77" s="19" t="s">
        <v>193</v>
      </c>
      <c r="E77" s="19" t="s">
        <v>194</v>
      </c>
      <c r="F77" s="20">
        <v>0.04</v>
      </c>
      <c r="G77" s="21">
        <v>1</v>
      </c>
      <c r="H77" s="22">
        <f>F77 * G77 * 11907.982757</f>
        <v>476.31931028000002</v>
      </c>
      <c r="I77" s="22">
        <f>F77 * G77 * 68364.378694</f>
        <v>2734.5751477600002</v>
      </c>
      <c r="J77" s="22">
        <f t="shared" ref="J77:J83" si="2">F77 * G77 * 0</f>
        <v>0</v>
      </c>
      <c r="K77" s="22">
        <f>F77 * G77 * 11336.399585</f>
        <v>453.45598339999998</v>
      </c>
      <c r="L77" s="22">
        <f>F77 * G77 * 9915.982725</f>
        <v>396.63930900000003</v>
      </c>
      <c r="M77" s="22">
        <f>F77 * G77 * 2381.596551</f>
        <v>95.263862040000006</v>
      </c>
      <c r="N77" s="26">
        <f t="shared" ref="N77:N83" si="3">SUM(H77:M77)</f>
        <v>4156.2536124800008</v>
      </c>
      <c r="O77" s="29">
        <v>6.3411656482363007E-2</v>
      </c>
    </row>
    <row r="78" spans="2:15">
      <c r="B78" s="17">
        <v>43</v>
      </c>
      <c r="C78" s="18" t="s">
        <v>195</v>
      </c>
      <c r="D78" s="19" t="s">
        <v>196</v>
      </c>
      <c r="E78" s="19" t="s">
        <v>194</v>
      </c>
      <c r="F78" s="20">
        <v>0.04</v>
      </c>
      <c r="G78" s="21">
        <v>1</v>
      </c>
      <c r="H78" s="22">
        <f>F78 * G78 * 27479.960208</f>
        <v>1099.19840832</v>
      </c>
      <c r="I78" s="22">
        <f>F78 * G78 * 68364.378694</f>
        <v>2734.5751477600002</v>
      </c>
      <c r="J78" s="22">
        <f t="shared" si="2"/>
        <v>0</v>
      </c>
      <c r="K78" s="22">
        <f>F78 * G78 * 26160.922118</f>
        <v>1046.4368847199999</v>
      </c>
      <c r="L78" s="22">
        <f>F78 * G78 * 13451.382198</f>
        <v>538.05528791999996</v>
      </c>
      <c r="M78" s="22">
        <f>F78 * G78 * 5495.992042</f>
        <v>219.83968168000001</v>
      </c>
      <c r="N78" s="26">
        <f t="shared" si="3"/>
        <v>5638.1054103999995</v>
      </c>
      <c r="O78" s="29">
        <v>8.6020160661540335E-2</v>
      </c>
    </row>
    <row r="79" spans="2:15">
      <c r="B79" s="17">
        <v>44</v>
      </c>
      <c r="C79" s="18" t="s">
        <v>197</v>
      </c>
      <c r="D79" s="19" t="s">
        <v>198</v>
      </c>
      <c r="E79" s="19" t="s">
        <v>194</v>
      </c>
      <c r="F79" s="20">
        <v>0.04</v>
      </c>
      <c r="G79" s="21">
        <v>1</v>
      </c>
      <c r="H79" s="22">
        <f>F79 * G79 * 8701.987399</f>
        <v>348.07949595999997</v>
      </c>
      <c r="I79" s="22">
        <f>F79 * G79 * 27992.692254</f>
        <v>1119.7076901600001</v>
      </c>
      <c r="J79" s="22">
        <f t="shared" si="2"/>
        <v>0</v>
      </c>
      <c r="K79" s="22">
        <f>F79 * G79 * 8284.292003</f>
        <v>331.37168012000001</v>
      </c>
      <c r="L79" s="22">
        <f>F79 * G79 * 4928.893444</f>
        <v>197.15573776000002</v>
      </c>
      <c r="M79" s="22">
        <f>F79 * G79 * 1740.39748</f>
        <v>69.615899200000001</v>
      </c>
      <c r="N79" s="26">
        <f t="shared" si="3"/>
        <v>2065.9305032000002</v>
      </c>
      <c r="O79" s="29">
        <v>3.1519750140363727E-2</v>
      </c>
    </row>
    <row r="80" spans="2:15">
      <c r="B80" s="17">
        <v>45</v>
      </c>
      <c r="C80" s="18" t="s">
        <v>199</v>
      </c>
      <c r="D80" s="19" t="s">
        <v>200</v>
      </c>
      <c r="E80" s="19" t="s">
        <v>35</v>
      </c>
      <c r="F80" s="20">
        <v>0.02</v>
      </c>
      <c r="G80" s="21">
        <v>1</v>
      </c>
      <c r="H80" s="22">
        <f>F80 * G80 * 13052.981099</f>
        <v>261.05962198000003</v>
      </c>
      <c r="I80" s="22">
        <f>F80 * G80 * 50898.12568</f>
        <v>1017.9625136</v>
      </c>
      <c r="J80" s="22">
        <f t="shared" si="2"/>
        <v>0</v>
      </c>
      <c r="K80" s="22">
        <f>F80 * G80 * 12426.438006</f>
        <v>248.52876012000002</v>
      </c>
      <c r="L80" s="22">
        <f>F80 * G80 * 8333.248876</f>
        <v>166.66497752000001</v>
      </c>
      <c r="M80" s="22">
        <f>F80 * G80 * 2610.59622</f>
        <v>52.211924400000001</v>
      </c>
      <c r="N80" s="26">
        <f t="shared" si="3"/>
        <v>1746.4277976200001</v>
      </c>
      <c r="O80" s="29">
        <v>2.6645120798547542E-2</v>
      </c>
    </row>
    <row r="81" spans="2:15">
      <c r="B81" s="17">
        <v>46</v>
      </c>
      <c r="C81" s="18" t="s">
        <v>201</v>
      </c>
      <c r="D81" s="19" t="s">
        <v>202</v>
      </c>
      <c r="E81" s="19" t="s">
        <v>35</v>
      </c>
      <c r="F81" s="20">
        <v>0.04</v>
      </c>
      <c r="G81" s="21"/>
      <c r="H81" s="22">
        <f>F81 * G81 * 14655.978778</f>
        <v>0</v>
      </c>
      <c r="I81" s="22">
        <f>F81 * G81 * 24605.57368</f>
        <v>0</v>
      </c>
      <c r="J81" s="22">
        <f t="shared" si="2"/>
        <v>0</v>
      </c>
      <c r="K81" s="22">
        <f>F81 * G81 * 13952.4917969999</f>
        <v>0</v>
      </c>
      <c r="L81" s="22">
        <f>F81 * G81 * 5923.322821</f>
        <v>0</v>
      </c>
      <c r="M81" s="22">
        <f>F81 * G81 * 2931.195756</f>
        <v>0</v>
      </c>
      <c r="N81" s="26">
        <f t="shared" si="3"/>
        <v>0</v>
      </c>
      <c r="O81" s="29">
        <v>0</v>
      </c>
    </row>
    <row r="82" spans="2:15">
      <c r="B82" s="17">
        <v>47</v>
      </c>
      <c r="C82" s="18" t="s">
        <v>203</v>
      </c>
      <c r="D82" s="19" t="s">
        <v>204</v>
      </c>
      <c r="E82" s="19" t="s">
        <v>35</v>
      </c>
      <c r="F82" s="20">
        <v>0.02</v>
      </c>
      <c r="G82" s="21">
        <v>1</v>
      </c>
      <c r="H82" s="22">
        <f>F82 * G82 * 10533.984746</f>
        <v>210.67969492</v>
      </c>
      <c r="I82" s="22">
        <f>F82 * G82 * 22704.89368</f>
        <v>454.09787360000001</v>
      </c>
      <c r="J82" s="22">
        <f t="shared" si="2"/>
        <v>0</v>
      </c>
      <c r="K82" s="22">
        <f>F82 * G82 * 10028.353478</f>
        <v>200.56706956000002</v>
      </c>
      <c r="L82" s="22">
        <f>F82 * G82 * 4786.960044</f>
        <v>95.739200880000013</v>
      </c>
      <c r="M82" s="22">
        <f>F82 * G82 * 2106.796949</f>
        <v>42.135938979999999</v>
      </c>
      <c r="N82" s="26">
        <f t="shared" si="3"/>
        <v>1003.2197779400001</v>
      </c>
      <c r="O82" s="29">
        <v>1.5306050560539486E-2</v>
      </c>
    </row>
    <row r="83" spans="2:15" ht="38.25">
      <c r="B83" s="17">
        <v>48</v>
      </c>
      <c r="C83" s="18" t="s">
        <v>205</v>
      </c>
      <c r="D83" s="19" t="s">
        <v>206</v>
      </c>
      <c r="E83" s="19" t="s">
        <v>207</v>
      </c>
      <c r="F83" s="20">
        <v>0.1</v>
      </c>
      <c r="G83" s="21">
        <v>1</v>
      </c>
      <c r="H83" s="22">
        <f>F83 * G83 * 21463.40268</f>
        <v>2146.3402679999999</v>
      </c>
      <c r="I83" s="22">
        <f>F83 * G83 * 50474.624404</f>
        <v>5047.4624404000006</v>
      </c>
      <c r="J83" s="22">
        <f t="shared" si="2"/>
        <v>0</v>
      </c>
      <c r="K83" s="22">
        <f>F83 * G83 * 20433.159351</f>
        <v>2043.3159350999999</v>
      </c>
      <c r="L83" s="22">
        <f>F83 * G83 * 10198.037966</f>
        <v>1019.8037966000001</v>
      </c>
      <c r="M83" s="22">
        <f>F83 * G83 * 4292.680536</f>
        <v>429.26805360000003</v>
      </c>
      <c r="N83" s="26">
        <f t="shared" si="3"/>
        <v>10686.1904937</v>
      </c>
      <c r="O83" s="29">
        <v>0.16303842447363603</v>
      </c>
    </row>
    <row r="84" spans="2:15" s="14" customFormat="1" ht="12.75">
      <c r="B84" s="15"/>
      <c r="C84" s="16" t="s">
        <v>208</v>
      </c>
      <c r="D84" s="43" t="s">
        <v>209</v>
      </c>
      <c r="E84" s="43"/>
      <c r="F84" s="43"/>
      <c r="G84" s="43"/>
      <c r="H84" s="43"/>
      <c r="I84" s="43"/>
      <c r="J84" s="43"/>
      <c r="K84" s="43"/>
      <c r="L84" s="43"/>
      <c r="M84" s="43"/>
      <c r="N84" s="44"/>
      <c r="O84" s="28"/>
    </row>
    <row r="85" spans="2:15" ht="25.5">
      <c r="B85" s="17">
        <v>49</v>
      </c>
      <c r="C85" s="18" t="s">
        <v>210</v>
      </c>
      <c r="D85" s="19" t="s">
        <v>211</v>
      </c>
      <c r="E85" s="19" t="s">
        <v>212</v>
      </c>
      <c r="F85" s="20">
        <v>0.02</v>
      </c>
      <c r="G85" s="21">
        <v>1</v>
      </c>
      <c r="H85" s="22">
        <f>F85 * G85 * 18243.892278</f>
        <v>364.87784555999997</v>
      </c>
      <c r="I85" s="22">
        <f>F85 * G85 * 32777.69895</f>
        <v>655.55397900000003</v>
      </c>
      <c r="J85" s="22">
        <f>F85 * G85 * 0</f>
        <v>0</v>
      </c>
      <c r="K85" s="22">
        <f>F85 * G85 * 17368.185449</f>
        <v>347.36370898000001</v>
      </c>
      <c r="L85" s="22">
        <f>F85 * G85 * 7600.067567</f>
        <v>152.00135134000001</v>
      </c>
      <c r="M85" s="22">
        <f>F85 * G85 * 3648.778456</f>
        <v>72.975569120000003</v>
      </c>
      <c r="N85" s="26">
        <f>SUM(H85:M85)</f>
        <v>1592.7724539999999</v>
      </c>
      <c r="O85" s="29">
        <v>2.4300812492371537E-2</v>
      </c>
    </row>
    <row r="86" spans="2:15" s="14" customFormat="1" ht="12.75">
      <c r="B86" s="15"/>
      <c r="C86" s="16" t="s">
        <v>213</v>
      </c>
      <c r="D86" s="43" t="s">
        <v>214</v>
      </c>
      <c r="E86" s="43"/>
      <c r="F86" s="43"/>
      <c r="G86" s="43"/>
      <c r="H86" s="43"/>
      <c r="I86" s="43"/>
      <c r="J86" s="43"/>
      <c r="K86" s="43"/>
      <c r="L86" s="43"/>
      <c r="M86" s="43"/>
      <c r="N86" s="44"/>
      <c r="O86" s="28"/>
    </row>
    <row r="87" spans="2:15" ht="25.5">
      <c r="B87" s="17">
        <v>50</v>
      </c>
      <c r="C87" s="18" t="s">
        <v>215</v>
      </c>
      <c r="D87" s="19" t="s">
        <v>216</v>
      </c>
      <c r="E87" s="19" t="s">
        <v>182</v>
      </c>
      <c r="F87" s="20">
        <v>0.1</v>
      </c>
      <c r="G87" s="21">
        <v>0.1</v>
      </c>
      <c r="H87" s="22">
        <f>F87 * G87 * 11375.60342</f>
        <v>113.75603420000002</v>
      </c>
      <c r="I87" s="22">
        <f>F87 * G87 * 5622.98964</f>
        <v>56.229896400000008</v>
      </c>
      <c r="J87" s="22">
        <f>F87 * G87 * 0</f>
        <v>0</v>
      </c>
      <c r="K87" s="22">
        <f>F87 * G87 * 10829.574456</f>
        <v>108.29574456000002</v>
      </c>
      <c r="L87" s="22">
        <f>F87 * G87 * 3175.89690499999</f>
        <v>31.758969049999905</v>
      </c>
      <c r="M87" s="22">
        <f>F87 * G87 * 2275.120684</f>
        <v>22.751206840000005</v>
      </c>
      <c r="N87" s="26">
        <f>SUM(H87:M87)</f>
        <v>332.79185104999993</v>
      </c>
      <c r="O87" s="29">
        <v>5.0773808594226774E-3</v>
      </c>
    </row>
    <row r="88" spans="2:15">
      <c r="B88" s="17">
        <v>51</v>
      </c>
      <c r="C88" s="18" t="s">
        <v>217</v>
      </c>
      <c r="D88" s="19" t="s">
        <v>218</v>
      </c>
      <c r="E88" s="19" t="s">
        <v>219</v>
      </c>
      <c r="F88" s="20">
        <v>0.02</v>
      </c>
      <c r="G88" s="21">
        <v>0.2</v>
      </c>
      <c r="H88" s="22">
        <f>F88 * G88 * 11208.98088</f>
        <v>44.835923519999994</v>
      </c>
      <c r="I88" s="22">
        <f>F88 * G88 * 20253.4656</f>
        <v>81.013862399999994</v>
      </c>
      <c r="J88" s="22">
        <f>F88 * G88 * 0</f>
        <v>0</v>
      </c>
      <c r="K88" s="22">
        <f>F88 * G88 * 10670.949798</f>
        <v>42.683799192000002</v>
      </c>
      <c r="L88" s="22">
        <f>F88 * G88 * 4681.582804</f>
        <v>18.726331215999998</v>
      </c>
      <c r="M88" s="22">
        <f>F88 * G88 * 2241.796176</f>
        <v>8.9671847039999992</v>
      </c>
      <c r="N88" s="26">
        <f>SUM(H88:M88)</f>
        <v>196.22710103200001</v>
      </c>
      <c r="O88" s="29">
        <v>2.9938224861467111E-3</v>
      </c>
    </row>
    <row r="89" spans="2:15">
      <c r="B89" s="17">
        <v>52</v>
      </c>
      <c r="C89" s="18" t="s">
        <v>220</v>
      </c>
      <c r="D89" s="19" t="s">
        <v>221</v>
      </c>
      <c r="E89" s="19" t="s">
        <v>222</v>
      </c>
      <c r="F89" s="20">
        <v>0.04</v>
      </c>
      <c r="G89" s="21">
        <v>0.1</v>
      </c>
      <c r="H89" s="22">
        <f>F89 * G89 * 12234.139528</f>
        <v>48.936558112</v>
      </c>
      <c r="I89" s="22">
        <f>F89 * G89 * 11125.803881</f>
        <v>44.503215523999998</v>
      </c>
      <c r="J89" s="22">
        <f>F89 * G89 * 0</f>
        <v>0</v>
      </c>
      <c r="K89" s="22">
        <f>F89 * G89 * 11646.9008299999</f>
        <v>46.587603319999602</v>
      </c>
      <c r="L89" s="22">
        <f>F89 * G89 * 3951.362412</f>
        <v>15.805449648</v>
      </c>
      <c r="M89" s="22">
        <f>F89 * G89 * 2446.827906</f>
        <v>9.7873116240000009</v>
      </c>
      <c r="N89" s="26">
        <f>SUM(H89:M89)</f>
        <v>165.62013822799963</v>
      </c>
      <c r="O89" s="29">
        <v>2.5268542998291171E-3</v>
      </c>
    </row>
    <row r="90" spans="2:15" s="11" customFormat="1" ht="15">
      <c r="B90" s="12"/>
      <c r="C90" s="13" t="s">
        <v>223</v>
      </c>
      <c r="D90" s="41" t="s">
        <v>224</v>
      </c>
      <c r="E90" s="41"/>
      <c r="F90" s="41"/>
      <c r="G90" s="41"/>
      <c r="H90" s="41"/>
      <c r="I90" s="41"/>
      <c r="J90" s="41"/>
      <c r="K90" s="41"/>
      <c r="L90" s="41"/>
      <c r="M90" s="41"/>
      <c r="N90" s="42"/>
      <c r="O90" s="30"/>
    </row>
    <row r="91" spans="2:15" s="14" customFormat="1" ht="12.75">
      <c r="B91" s="15"/>
      <c r="C91" s="16" t="s">
        <v>225</v>
      </c>
      <c r="D91" s="43" t="s">
        <v>226</v>
      </c>
      <c r="E91" s="43"/>
      <c r="F91" s="43"/>
      <c r="G91" s="43"/>
      <c r="H91" s="43"/>
      <c r="I91" s="43"/>
      <c r="J91" s="43"/>
      <c r="K91" s="43"/>
      <c r="L91" s="43"/>
      <c r="M91" s="43"/>
      <c r="N91" s="44"/>
      <c r="O91" s="28"/>
    </row>
    <row r="92" spans="2:15" ht="38.25">
      <c r="B92" s="17">
        <v>53</v>
      </c>
      <c r="C92" s="18" t="s">
        <v>227</v>
      </c>
      <c r="D92" s="19" t="s">
        <v>228</v>
      </c>
      <c r="E92" s="19" t="s">
        <v>229</v>
      </c>
      <c r="F92" s="20">
        <v>0.02</v>
      </c>
      <c r="G92" s="21">
        <v>0.2</v>
      </c>
      <c r="H92" s="22">
        <f>F92 * G92 * 16589.291702</f>
        <v>66.357166808000002</v>
      </c>
      <c r="I92" s="22">
        <f>F92 * G92 * 13708.955158</f>
        <v>54.835820632000001</v>
      </c>
      <c r="J92" s="22">
        <f t="shared" ref="J92:J97" si="4">F92 * G92 * 0</f>
        <v>0</v>
      </c>
      <c r="K92" s="22">
        <f>F92 * G92 * 15793.0057</f>
        <v>63.172022800000001</v>
      </c>
      <c r="L92" s="22">
        <f>F92 * G92 * 5212.661201</f>
        <v>20.850644804000002</v>
      </c>
      <c r="M92" s="22">
        <f>F92 * G92 * 3317.85834</f>
        <v>13.271433360000001</v>
      </c>
      <c r="N92" s="26">
        <f t="shared" ref="N92:N100" si="5">SUM(H92:M92)</f>
        <v>218.48708840400002</v>
      </c>
      <c r="O92" s="29">
        <v>3.3334414805931897E-3</v>
      </c>
    </row>
    <row r="93" spans="2:15" ht="25.5">
      <c r="B93" s="17">
        <v>54</v>
      </c>
      <c r="C93" s="18" t="s">
        <v>230</v>
      </c>
      <c r="D93" s="19" t="s">
        <v>231</v>
      </c>
      <c r="E93" s="19" t="s">
        <v>232</v>
      </c>
      <c r="F93" s="20">
        <v>0.2</v>
      </c>
      <c r="G93" s="21">
        <v>2</v>
      </c>
      <c r="H93" s="22">
        <f>F93 * G93 * 1365.718864</f>
        <v>546.28754560000004</v>
      </c>
      <c r="I93" s="22">
        <f>F93 * G93 * 333.984106</f>
        <v>133.59364239999999</v>
      </c>
      <c r="J93" s="22">
        <f t="shared" si="4"/>
        <v>0</v>
      </c>
      <c r="K93" s="22">
        <f>F93 * G93 * 1300.16435899999</f>
        <v>520.06574359999604</v>
      </c>
      <c r="L93" s="22">
        <f>F93 * G93 * 345.302672</f>
        <v>138.12106879999999</v>
      </c>
      <c r="M93" s="22">
        <f>F93 * G93 * 273.143773</f>
        <v>109.25750920000002</v>
      </c>
      <c r="N93" s="26">
        <f t="shared" si="5"/>
        <v>1447.3255095999959</v>
      </c>
      <c r="O93" s="29">
        <v>2.2081739130965394E-2</v>
      </c>
    </row>
    <row r="94" spans="2:15">
      <c r="B94" s="17">
        <v>55</v>
      </c>
      <c r="C94" s="18" t="s">
        <v>233</v>
      </c>
      <c r="D94" s="19" t="s">
        <v>234</v>
      </c>
      <c r="E94" s="19" t="s">
        <v>235</v>
      </c>
      <c r="F94" s="20">
        <v>2</v>
      </c>
      <c r="G94" s="21">
        <v>1</v>
      </c>
      <c r="H94" s="22">
        <f>F94 * G94 * 118.868123</f>
        <v>237.73624599999999</v>
      </c>
      <c r="I94" s="22">
        <f>F94 * G94 * 85.880167</f>
        <v>171.760334</v>
      </c>
      <c r="J94" s="22">
        <f t="shared" si="4"/>
        <v>0</v>
      </c>
      <c r="K94" s="22">
        <f>F94 * G94 * 113.162453</f>
        <v>226.324906</v>
      </c>
      <c r="L94" s="22">
        <f>F94 * G94 * 36.0477009999999</f>
        <v>72.095401999999794</v>
      </c>
      <c r="M94" s="22">
        <f>F94 * G94 * 23.773625</f>
        <v>47.547249999999998</v>
      </c>
      <c r="N94" s="26">
        <f t="shared" si="5"/>
        <v>755.46413799999982</v>
      </c>
      <c r="O94" s="29">
        <v>1.1526060936165016E-2</v>
      </c>
    </row>
    <row r="95" spans="2:15">
      <c r="B95" s="17">
        <v>56</v>
      </c>
      <c r="C95" s="18" t="s">
        <v>236</v>
      </c>
      <c r="D95" s="19" t="s">
        <v>237</v>
      </c>
      <c r="E95" s="19" t="s">
        <v>238</v>
      </c>
      <c r="F95" s="20">
        <v>2</v>
      </c>
      <c r="G95" s="21">
        <v>1</v>
      </c>
      <c r="H95" s="22">
        <f>F95 * G95 * 33.626943</f>
        <v>67.253885999999994</v>
      </c>
      <c r="I95" s="22">
        <f>F95 * G95 * 104.238254</f>
        <v>208.476508</v>
      </c>
      <c r="J95" s="22">
        <f t="shared" si="4"/>
        <v>0</v>
      </c>
      <c r="K95" s="22">
        <f>F95 * G95 * 32.01285</f>
        <v>64.025700000000001</v>
      </c>
      <c r="L95" s="22">
        <f>F95 * G95 * 18.631662</f>
        <v>37.263323999999997</v>
      </c>
      <c r="M95" s="22">
        <f>F95 * G95 * 6.725389</f>
        <v>13.450778</v>
      </c>
      <c r="N95" s="26">
        <f t="shared" si="5"/>
        <v>390.47019599999999</v>
      </c>
      <c r="O95" s="29">
        <v>5.9573751373123394E-3</v>
      </c>
    </row>
    <row r="96" spans="2:15">
      <c r="B96" s="17">
        <v>57</v>
      </c>
      <c r="C96" s="18" t="s">
        <v>239</v>
      </c>
      <c r="D96" s="19" t="s">
        <v>240</v>
      </c>
      <c r="E96" s="19" t="s">
        <v>241</v>
      </c>
      <c r="F96" s="20">
        <v>0.02</v>
      </c>
      <c r="G96" s="21">
        <v>1</v>
      </c>
      <c r="H96" s="22">
        <f>F96 * G96 * 23942.38316</f>
        <v>478.84766320000006</v>
      </c>
      <c r="I96" s="22">
        <f>F96 * G96 * 79511.414227</f>
        <v>1590.22828454</v>
      </c>
      <c r="J96" s="22">
        <f t="shared" si="4"/>
        <v>0</v>
      </c>
      <c r="K96" s="22">
        <f>F96 * G96 * 22793.148768</f>
        <v>455.86297536000001</v>
      </c>
      <c r="L96" s="22">
        <f>F96 * G96 * 13824.237104</f>
        <v>276.48474207999999</v>
      </c>
      <c r="M96" s="22">
        <f>F96 * G96 * 4788.476632</f>
        <v>95.769532639999994</v>
      </c>
      <c r="N96" s="26">
        <f t="shared" si="5"/>
        <v>2897.19319782</v>
      </c>
      <c r="O96" s="29">
        <v>4.420226409465397E-2</v>
      </c>
    </row>
    <row r="97" spans="2:15">
      <c r="B97" s="17">
        <v>58</v>
      </c>
      <c r="C97" s="18" t="s">
        <v>242</v>
      </c>
      <c r="D97" s="19" t="s">
        <v>243</v>
      </c>
      <c r="E97" s="19" t="s">
        <v>116</v>
      </c>
      <c r="F97" s="20">
        <v>0.24</v>
      </c>
      <c r="G97" s="21">
        <v>0.2</v>
      </c>
      <c r="H97" s="22">
        <f>F97 * G97 * 11375.60342</f>
        <v>546.02896415999999</v>
      </c>
      <c r="I97" s="22">
        <f>F97 * G97 * 4845.487643</f>
        <v>232.58340686400001</v>
      </c>
      <c r="J97" s="22">
        <f t="shared" si="4"/>
        <v>0</v>
      </c>
      <c r="K97" s="22">
        <f>F97 * G97 * 10829.574456</f>
        <v>519.81957388800004</v>
      </c>
      <c r="L97" s="22">
        <f>F97 * G97 * 3093.870444</f>
        <v>148.50578131200001</v>
      </c>
      <c r="M97" s="22">
        <f>F97 * G97 * 2275.120684</f>
        <v>109.205792832</v>
      </c>
      <c r="N97" s="26">
        <f t="shared" si="5"/>
        <v>1556.1435190560001</v>
      </c>
      <c r="O97" s="29">
        <v>2.374196751885756E-2</v>
      </c>
    </row>
    <row r="98" spans="2:15">
      <c r="B98" s="17">
        <v>59</v>
      </c>
      <c r="C98" s="18" t="s">
        <v>244</v>
      </c>
      <c r="D98" s="19" t="s">
        <v>245</v>
      </c>
      <c r="E98" s="19" t="s">
        <v>246</v>
      </c>
      <c r="F98" s="20"/>
      <c r="G98" s="21">
        <v>1</v>
      </c>
      <c r="H98" s="22">
        <f>F98 * G98 * 289.29151</f>
        <v>0</v>
      </c>
      <c r="I98" s="22">
        <f>F98 * G98 * 2880.83556</f>
        <v>0</v>
      </c>
      <c r="J98" s="22">
        <f>F98 * G98 * 7.467328</f>
        <v>0</v>
      </c>
      <c r="K98" s="22">
        <f>F98 * G98 * 275.405518</f>
        <v>0</v>
      </c>
      <c r="L98" s="22">
        <f>F98 * G98 * 370.395542</f>
        <v>0</v>
      </c>
      <c r="M98" s="22">
        <f>F98 * G98 * 57.858302</f>
        <v>0</v>
      </c>
      <c r="N98" s="26">
        <f t="shared" si="5"/>
        <v>0</v>
      </c>
      <c r="O98" s="29">
        <v>0</v>
      </c>
    </row>
    <row r="99" spans="2:15">
      <c r="B99" s="17">
        <v>60</v>
      </c>
      <c r="C99" s="18" t="s">
        <v>247</v>
      </c>
      <c r="D99" s="19" t="s">
        <v>248</v>
      </c>
      <c r="E99" s="19" t="s">
        <v>249</v>
      </c>
      <c r="F99" s="20">
        <v>2</v>
      </c>
      <c r="G99" s="21">
        <v>1</v>
      </c>
      <c r="H99" s="22">
        <f>F99 * G99 * 70.368205</f>
        <v>140.73641000000001</v>
      </c>
      <c r="I99" s="22">
        <f>F99 * G99 * 2136.02592</f>
        <v>4272.0518400000001</v>
      </c>
      <c r="J99" s="22">
        <f>F99 * G99 * 1.3464</f>
        <v>2.6928000000000001</v>
      </c>
      <c r="K99" s="22">
        <f>F99 * G99 * 66.990531</f>
        <v>133.98106200000001</v>
      </c>
      <c r="L99" s="22">
        <f>F99 * G99 * 241.468894999999</f>
        <v>482.93778999999802</v>
      </c>
      <c r="M99" s="22">
        <f>F99 * G99 * 14.073641</f>
        <v>28.147282000000001</v>
      </c>
      <c r="N99" s="26">
        <f t="shared" si="5"/>
        <v>5060.5471839999982</v>
      </c>
      <c r="O99" s="29">
        <v>7.7208397168314388E-2</v>
      </c>
    </row>
    <row r="100" spans="2:15" ht="25.5">
      <c r="B100" s="17">
        <v>61</v>
      </c>
      <c r="C100" s="18" t="s">
        <v>250</v>
      </c>
      <c r="D100" s="19" t="s">
        <v>251</v>
      </c>
      <c r="E100" s="19" t="s">
        <v>252</v>
      </c>
      <c r="F100" s="20">
        <v>2</v>
      </c>
      <c r="G100" s="21">
        <v>0.2</v>
      </c>
      <c r="H100" s="22">
        <f>F100 * G100 * 526.611153</f>
        <v>210.64446119999999</v>
      </c>
      <c r="I100" s="22">
        <f>F100 * G100 * 2010.938661</f>
        <v>804.37546440000006</v>
      </c>
      <c r="J100" s="22">
        <f>F100 * G100 * 0</f>
        <v>0</v>
      </c>
      <c r="K100" s="22">
        <f>F100 * G100 * 501.333817</f>
        <v>200.5335268</v>
      </c>
      <c r="L100" s="22">
        <f>F100 * G100 * 331.713718</f>
        <v>132.68548719999998</v>
      </c>
      <c r="M100" s="22">
        <f>F100 * G100 * 105.322231</f>
        <v>42.128892400000005</v>
      </c>
      <c r="N100" s="26">
        <f t="shared" si="5"/>
        <v>1390.3678319999999</v>
      </c>
      <c r="O100" s="29">
        <v>2.1212740021969975E-2</v>
      </c>
    </row>
    <row r="101" spans="2:15" s="14" customFormat="1" ht="12.75">
      <c r="B101" s="15"/>
      <c r="C101" s="16" t="s">
        <v>253</v>
      </c>
      <c r="D101" s="43" t="s">
        <v>254</v>
      </c>
      <c r="E101" s="43"/>
      <c r="F101" s="43"/>
      <c r="G101" s="43"/>
      <c r="H101" s="43"/>
      <c r="I101" s="43"/>
      <c r="J101" s="43"/>
      <c r="K101" s="43"/>
      <c r="L101" s="43"/>
      <c r="M101" s="43"/>
      <c r="N101" s="44"/>
      <c r="O101" s="28"/>
    </row>
    <row r="102" spans="2:15">
      <c r="B102" s="17">
        <v>62</v>
      </c>
      <c r="C102" s="18" t="s">
        <v>255</v>
      </c>
      <c r="D102" s="19" t="s">
        <v>256</v>
      </c>
      <c r="E102" s="19" t="s">
        <v>257</v>
      </c>
      <c r="F102" s="20">
        <v>0.2</v>
      </c>
      <c r="G102" s="21">
        <v>0.2</v>
      </c>
      <c r="H102" s="22">
        <f>F102 * G102 * 2241.796176</f>
        <v>89.671847040000017</v>
      </c>
      <c r="I102" s="22">
        <f>F102 * G102 * 898.7904</f>
        <v>35.951616000000008</v>
      </c>
      <c r="J102" s="22">
        <f t="shared" ref="J102:J108" si="6">F102 * G102 * 0</f>
        <v>0</v>
      </c>
      <c r="K102" s="22">
        <f>F102 * G102 * 2134.189959</f>
        <v>85.367598360000002</v>
      </c>
      <c r="L102" s="22">
        <f>F102 * G102 * 603.790824</f>
        <v>24.151632960000008</v>
      </c>
      <c r="M102" s="22">
        <f>F102 * G102 * 448.359235</f>
        <v>17.934369400000005</v>
      </c>
      <c r="N102" s="26">
        <f t="shared" ref="N102:N108" si="7">SUM(H102:M102)</f>
        <v>253.07706376000004</v>
      </c>
      <c r="O102" s="29">
        <v>3.861178197241548E-3</v>
      </c>
    </row>
    <row r="103" spans="2:15">
      <c r="B103" s="17">
        <v>63</v>
      </c>
      <c r="C103" s="18" t="s">
        <v>258</v>
      </c>
      <c r="D103" s="19" t="s">
        <v>259</v>
      </c>
      <c r="E103" s="19" t="s">
        <v>260</v>
      </c>
      <c r="F103" s="20">
        <v>2</v>
      </c>
      <c r="G103" s="21">
        <v>0.2</v>
      </c>
      <c r="H103" s="22">
        <f>F103 * G103 * 112.089809</f>
        <v>44.835923600000001</v>
      </c>
      <c r="I103" s="22">
        <f>F103 * G103 * 45.53436</f>
        <v>18.213744000000002</v>
      </c>
      <c r="J103" s="22">
        <f t="shared" si="6"/>
        <v>0</v>
      </c>
      <c r="K103" s="22">
        <f>F103 * G103 * 106.709498</f>
        <v>42.683799200000003</v>
      </c>
      <c r="L103" s="22">
        <f>F103 * G103 * 30.252297</f>
        <v>12.100918800000001</v>
      </c>
      <c r="M103" s="22">
        <f>F103 * G103 * 22.417962</f>
        <v>8.9671848000000001</v>
      </c>
      <c r="N103" s="26">
        <f t="shared" si="7"/>
        <v>126.8015704</v>
      </c>
      <c r="O103" s="29">
        <v>1.9346022580251435E-3</v>
      </c>
    </row>
    <row r="104" spans="2:15" ht="25.5">
      <c r="B104" s="17">
        <v>64</v>
      </c>
      <c r="C104" s="18" t="s">
        <v>261</v>
      </c>
      <c r="D104" s="19" t="s">
        <v>262</v>
      </c>
      <c r="E104" s="19" t="s">
        <v>232</v>
      </c>
      <c r="F104" s="20">
        <v>0.2</v>
      </c>
      <c r="G104" s="21">
        <v>0.2</v>
      </c>
      <c r="H104" s="22">
        <f>F104 * G104 * 1112.807964</f>
        <v>44.512318560000011</v>
      </c>
      <c r="I104" s="22">
        <f>F104 * G104 * 283.562506</f>
        <v>11.342500240000001</v>
      </c>
      <c r="J104" s="22">
        <f t="shared" si="6"/>
        <v>0</v>
      </c>
      <c r="K104" s="22">
        <f>F104 * G104 * 1059.393182</f>
        <v>42.375727280000007</v>
      </c>
      <c r="L104" s="22">
        <f>F104 * G104 * 282.563313</f>
        <v>11.302532520000002</v>
      </c>
      <c r="M104" s="22">
        <f>F104 * G104 * 222.561593</f>
        <v>8.9024637200000019</v>
      </c>
      <c r="N104" s="26">
        <f t="shared" si="7"/>
        <v>118.43554232000001</v>
      </c>
      <c r="O104" s="29">
        <v>1.806962381301111E-3</v>
      </c>
    </row>
    <row r="105" spans="2:15">
      <c r="B105" s="17">
        <v>65</v>
      </c>
      <c r="C105" s="18" t="s">
        <v>263</v>
      </c>
      <c r="D105" s="19" t="s">
        <v>264</v>
      </c>
      <c r="E105" s="19" t="s">
        <v>265</v>
      </c>
      <c r="F105" s="20">
        <v>0.02</v>
      </c>
      <c r="G105" s="21">
        <v>0.2</v>
      </c>
      <c r="H105" s="22">
        <f>F105 * G105 * 3362.694264</f>
        <v>13.450777056000002</v>
      </c>
      <c r="I105" s="22">
        <f>F105 * G105 * 9440.069568</f>
        <v>37.760278272000001</v>
      </c>
      <c r="J105" s="22">
        <f t="shared" si="6"/>
        <v>0</v>
      </c>
      <c r="K105" s="22">
        <f>F105 * G105 * 3201.28494</f>
        <v>12.805139759999999</v>
      </c>
      <c r="L105" s="22">
        <f>F105 * G105 * 1759.379994</f>
        <v>7.0375199759999996</v>
      </c>
      <c r="M105" s="22">
        <f>F105 * G105 * 672.538853</f>
        <v>2.6901554120000002</v>
      </c>
      <c r="N105" s="26">
        <f t="shared" si="7"/>
        <v>73.743870475999998</v>
      </c>
      <c r="O105" s="29">
        <v>1.1251048223483461E-3</v>
      </c>
    </row>
    <row r="106" spans="2:15">
      <c r="B106" s="17">
        <v>66</v>
      </c>
      <c r="C106" s="18" t="s">
        <v>266</v>
      </c>
      <c r="D106" s="19" t="s">
        <v>267</v>
      </c>
      <c r="E106" s="19" t="s">
        <v>116</v>
      </c>
      <c r="F106" s="20">
        <v>0.45</v>
      </c>
      <c r="G106" s="21">
        <v>0.2</v>
      </c>
      <c r="H106" s="22">
        <f>F106 * G106 * 17385.356171</f>
        <v>1564.6820553900002</v>
      </c>
      <c r="I106" s="22">
        <f>F106 * G106 * 3143.935994</f>
        <v>282.95423946000005</v>
      </c>
      <c r="J106" s="22">
        <f t="shared" si="6"/>
        <v>0</v>
      </c>
      <c r="K106" s="22">
        <f>F106 * G106 * 16550.859075</f>
        <v>1489.5773167500001</v>
      </c>
      <c r="L106" s="22">
        <f>F106 * G106 * 4278.786971</f>
        <v>385.09082739000007</v>
      </c>
      <c r="M106" s="22">
        <f>F106 * G106 * 3477.071234</f>
        <v>312.93641106000001</v>
      </c>
      <c r="N106" s="26">
        <f t="shared" si="7"/>
        <v>4035.2408500500001</v>
      </c>
      <c r="O106" s="29">
        <v>6.1565373642896375E-2</v>
      </c>
    </row>
    <row r="107" spans="2:15" ht="25.5">
      <c r="B107" s="17">
        <v>67</v>
      </c>
      <c r="C107" s="18" t="s">
        <v>268</v>
      </c>
      <c r="D107" s="19" t="s">
        <v>269</v>
      </c>
      <c r="E107" s="19" t="s">
        <v>270</v>
      </c>
      <c r="F107" s="20">
        <v>4</v>
      </c>
      <c r="G107" s="21">
        <v>0.2</v>
      </c>
      <c r="H107" s="22">
        <f>F107 * G107 * 1239.263414</f>
        <v>991.4107312000001</v>
      </c>
      <c r="I107" s="22">
        <f>F107 * G107 * 176.167513</f>
        <v>140.93401040000001</v>
      </c>
      <c r="J107" s="22">
        <f t="shared" si="6"/>
        <v>0</v>
      </c>
      <c r="K107" s="22">
        <f>F107 * G107 * 1179.77877</f>
        <v>943.82301599999994</v>
      </c>
      <c r="L107" s="22">
        <f>F107 * G107 * 299.943081</f>
        <v>239.95446480000001</v>
      </c>
      <c r="M107" s="22">
        <f>F107 * G107 * 247.852683</f>
        <v>198.28214640000002</v>
      </c>
      <c r="N107" s="26">
        <f t="shared" si="7"/>
        <v>2514.4043688000002</v>
      </c>
      <c r="O107" s="29">
        <v>3.8362083009886493E-2</v>
      </c>
    </row>
    <row r="108" spans="2:15" ht="51">
      <c r="B108" s="17">
        <v>68</v>
      </c>
      <c r="C108" s="18" t="s">
        <v>271</v>
      </c>
      <c r="D108" s="19" t="s">
        <v>272</v>
      </c>
      <c r="E108" s="19" t="s">
        <v>273</v>
      </c>
      <c r="F108" s="20">
        <v>4.3999999999999997E-2</v>
      </c>
      <c r="G108" s="21">
        <v>1</v>
      </c>
      <c r="H108" s="22">
        <f>F108 * G108 * 10285.360855</f>
        <v>452.55587761999999</v>
      </c>
      <c r="I108" s="22">
        <f>F108 * G108 * 49114.229045</f>
        <v>2161.0260779800001</v>
      </c>
      <c r="J108" s="22">
        <f t="shared" si="6"/>
        <v>0</v>
      </c>
      <c r="K108" s="22">
        <f>F108 * G108 * 9791.663534</f>
        <v>430.83319549599997</v>
      </c>
      <c r="L108" s="22">
        <f>F108 * G108 * 7516.698351</f>
        <v>330.73472744399999</v>
      </c>
      <c r="M108" s="22">
        <f>F108 * G108 * 2057.072171</f>
        <v>90.511175523999981</v>
      </c>
      <c r="N108" s="26">
        <f t="shared" si="7"/>
        <v>3465.6610540639999</v>
      </c>
      <c r="O108" s="29">
        <v>5.2875336477236662E-2</v>
      </c>
    </row>
    <row r="109" spans="2:15" s="14" customFormat="1" ht="12.75">
      <c r="B109" s="15"/>
      <c r="C109" s="16" t="s">
        <v>274</v>
      </c>
      <c r="D109" s="43" t="s">
        <v>275</v>
      </c>
      <c r="E109" s="43"/>
      <c r="F109" s="43"/>
      <c r="G109" s="43"/>
      <c r="H109" s="43"/>
      <c r="I109" s="43"/>
      <c r="J109" s="43"/>
      <c r="K109" s="43"/>
      <c r="L109" s="43"/>
      <c r="M109" s="43"/>
      <c r="N109" s="44"/>
      <c r="O109" s="28"/>
    </row>
    <row r="110" spans="2:15">
      <c r="B110" s="17">
        <v>69</v>
      </c>
      <c r="C110" s="18" t="s">
        <v>276</v>
      </c>
      <c r="D110" s="19" t="s">
        <v>277</v>
      </c>
      <c r="E110" s="19" t="s">
        <v>252</v>
      </c>
      <c r="F110" s="20">
        <v>2</v>
      </c>
      <c r="G110" s="21">
        <v>0.2</v>
      </c>
      <c r="H110" s="22">
        <f>F110 * G110 * 526.611153</f>
        <v>210.64446119999999</v>
      </c>
      <c r="I110" s="22">
        <f>F110 * G110 * 1873.074501</f>
        <v>749.22980040000004</v>
      </c>
      <c r="J110" s="22">
        <f>F110 * G110 * 0</f>
        <v>0</v>
      </c>
      <c r="K110" s="22">
        <f>F110 * G110 * 501.333817</f>
        <v>200.5335268</v>
      </c>
      <c r="L110" s="22">
        <f>F110 * G110 * 317.169049999999</f>
        <v>126.8676199999996</v>
      </c>
      <c r="M110" s="22">
        <f>F110 * G110 * 105.322231</f>
        <v>42.128892400000005</v>
      </c>
      <c r="N110" s="26">
        <f>SUM(H110:M110)</f>
        <v>1329.4043007999996</v>
      </c>
      <c r="O110" s="29">
        <v>2.028262389844989E-2</v>
      </c>
    </row>
    <row r="111" spans="2:15" s="14" customFormat="1" ht="12.75">
      <c r="B111" s="15"/>
      <c r="C111" s="16" t="s">
        <v>278</v>
      </c>
      <c r="D111" s="43" t="s">
        <v>279</v>
      </c>
      <c r="E111" s="43"/>
      <c r="F111" s="43"/>
      <c r="G111" s="43"/>
      <c r="H111" s="43"/>
      <c r="I111" s="43"/>
      <c r="J111" s="43"/>
      <c r="K111" s="43"/>
      <c r="L111" s="43"/>
      <c r="M111" s="43"/>
      <c r="N111" s="44"/>
      <c r="O111" s="28"/>
    </row>
    <row r="112" spans="2:15" ht="25.5">
      <c r="B112" s="17">
        <v>70</v>
      </c>
      <c r="C112" s="18" t="s">
        <v>280</v>
      </c>
      <c r="D112" s="19" t="s">
        <v>281</v>
      </c>
      <c r="E112" s="19" t="s">
        <v>282</v>
      </c>
      <c r="F112" s="20">
        <v>2</v>
      </c>
      <c r="G112" s="21">
        <v>0.2</v>
      </c>
      <c r="H112" s="22">
        <f>F112 * G112 * 163.651121</f>
        <v>65.460448400000004</v>
      </c>
      <c r="I112" s="22">
        <f>F112 * G112 * 1394.01624</f>
        <v>557.60649599999999</v>
      </c>
      <c r="J112" s="22">
        <f>F112 * G112 * 0</f>
        <v>0</v>
      </c>
      <c r="K112" s="22">
        <f>F112 * G112 * 155.795867999999</f>
        <v>62.3183471999996</v>
      </c>
      <c r="L112" s="22">
        <f>F112 * G112 * 184.223409</f>
        <v>73.689363600000007</v>
      </c>
      <c r="M112" s="22">
        <f>F112 * G112 * 32.730224</f>
        <v>13.092089600000001</v>
      </c>
      <c r="N112" s="26">
        <f>SUM(H112:M112)</f>
        <v>772.16674479999961</v>
      </c>
      <c r="O112" s="29">
        <v>1.1780891382887826E-2</v>
      </c>
    </row>
    <row r="113" spans="2:15" s="14" customFormat="1" ht="12.75">
      <c r="B113" s="15"/>
      <c r="C113" s="16" t="s">
        <v>283</v>
      </c>
      <c r="D113" s="43" t="s">
        <v>284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4"/>
      <c r="O113" s="28"/>
    </row>
    <row r="114" spans="2:15">
      <c r="B114" s="17">
        <v>71</v>
      </c>
      <c r="C114" s="18" t="s">
        <v>285</v>
      </c>
      <c r="D114" s="19" t="s">
        <v>286</v>
      </c>
      <c r="E114" s="19" t="s">
        <v>287</v>
      </c>
      <c r="F114" s="20">
        <v>0.04</v>
      </c>
      <c r="G114" s="21">
        <v>0.2</v>
      </c>
      <c r="H114" s="22">
        <f>F114 * G114 * 15957.105181</f>
        <v>127.65684144800001</v>
      </c>
      <c r="I114" s="22">
        <f>F114 * G114 * 119598.547738</f>
        <v>956.78838190399995</v>
      </c>
      <c r="J114" s="22">
        <f>F114 * G114 * 0</f>
        <v>0</v>
      </c>
      <c r="K114" s="22">
        <f>F114 * G114 * 15191.1641329999</f>
        <v>121.5293130639992</v>
      </c>
      <c r="L114" s="22">
        <f>F114 * G114 * 16240.484118</f>
        <v>129.92387294400001</v>
      </c>
      <c r="M114" s="22">
        <f>F114 * G114 * 3191.421036</f>
        <v>25.531368288000003</v>
      </c>
      <c r="N114" s="26">
        <f>SUM(H114:M114)</f>
        <v>1361.4297776479991</v>
      </c>
      <c r="O114" s="29">
        <v>2.0771234249481251E-2</v>
      </c>
    </row>
    <row r="115" spans="2:15">
      <c r="B115" s="17">
        <v>72</v>
      </c>
      <c r="C115" s="18" t="s">
        <v>288</v>
      </c>
      <c r="D115" s="19" t="s">
        <v>289</v>
      </c>
      <c r="E115" s="19" t="s">
        <v>116</v>
      </c>
      <c r="F115" s="20">
        <v>0.04</v>
      </c>
      <c r="G115" s="21">
        <v>0.2</v>
      </c>
      <c r="H115" s="22">
        <f>F115 * G115 * 17125.648998</f>
        <v>137.00519198400002</v>
      </c>
      <c r="I115" s="22">
        <f>F115 * G115 * 79457.159232</f>
        <v>635.65727385600007</v>
      </c>
      <c r="J115" s="22">
        <f>F115 * G115 * 0</f>
        <v>0</v>
      </c>
      <c r="K115" s="22">
        <f>F115 * G115 * 16303.617846</f>
        <v>130.42894276799998</v>
      </c>
      <c r="L115" s="22">
        <f>F115 * G115 * 12270.869145</f>
        <v>98.166953160000006</v>
      </c>
      <c r="M115" s="22">
        <f>F115 * G115 * 3425.1298</f>
        <v>27.401038400000001</v>
      </c>
      <c r="N115" s="26">
        <f>SUM(H115:M115)</f>
        <v>1028.659400168</v>
      </c>
      <c r="O115" s="29">
        <v>1.5694181010740878E-2</v>
      </c>
    </row>
    <row r="116" spans="2:15" s="14" customFormat="1" ht="12.75">
      <c r="B116" s="15"/>
      <c r="C116" s="16" t="s">
        <v>290</v>
      </c>
      <c r="D116" s="43" t="s">
        <v>291</v>
      </c>
      <c r="E116" s="43"/>
      <c r="F116" s="43"/>
      <c r="G116" s="43"/>
      <c r="H116" s="43"/>
      <c r="I116" s="43"/>
      <c r="J116" s="43"/>
      <c r="K116" s="43"/>
      <c r="L116" s="43"/>
      <c r="M116" s="43"/>
      <c r="N116" s="44"/>
      <c r="O116" s="28"/>
    </row>
    <row r="117" spans="2:15" ht="25.5">
      <c r="B117" s="17">
        <v>73</v>
      </c>
      <c r="C117" s="18" t="s">
        <v>292</v>
      </c>
      <c r="D117" s="19" t="s">
        <v>293</v>
      </c>
      <c r="E117" s="19" t="s">
        <v>294</v>
      </c>
      <c r="F117" s="20">
        <v>2</v>
      </c>
      <c r="G117" s="21">
        <v>0.2</v>
      </c>
      <c r="H117" s="22">
        <f>F117 * G117 * 247.487493</f>
        <v>98.9949972</v>
      </c>
      <c r="I117" s="22">
        <f>F117 * G117 * 751.358621</f>
        <v>300.54344839999999</v>
      </c>
      <c r="J117" s="22">
        <f>F117 * G117 * 0</f>
        <v>0</v>
      </c>
      <c r="K117" s="22">
        <f>F117 * G117 * 235.608093</f>
        <v>94.24323720000001</v>
      </c>
      <c r="L117" s="22">
        <f>F117 * G117 * 135.456905</f>
        <v>54.182762000000004</v>
      </c>
      <c r="M117" s="22">
        <f>F117 * G117 * 49.497499</f>
        <v>19.798999600000002</v>
      </c>
      <c r="N117" s="26">
        <f>SUM(H117:M117)</f>
        <v>567.76344440000003</v>
      </c>
      <c r="O117" s="29">
        <v>8.6623252227511303E-3</v>
      </c>
    </row>
    <row r="118" spans="2:15" s="11" customFormat="1" ht="15">
      <c r="B118" s="12"/>
      <c r="C118" s="13" t="s">
        <v>295</v>
      </c>
      <c r="D118" s="41" t="s">
        <v>296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2"/>
      <c r="O118" s="30"/>
    </row>
    <row r="119" spans="2:15" s="14" customFormat="1" ht="12.75">
      <c r="B119" s="15"/>
      <c r="C119" s="16" t="s">
        <v>297</v>
      </c>
      <c r="D119" s="43" t="s">
        <v>298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4"/>
      <c r="O119" s="28"/>
    </row>
    <row r="120" spans="2:15">
      <c r="B120" s="17">
        <v>74</v>
      </c>
      <c r="C120" s="18" t="s">
        <v>299</v>
      </c>
      <c r="D120" s="19" t="s">
        <v>300</v>
      </c>
      <c r="E120" s="19" t="s">
        <v>301</v>
      </c>
      <c r="F120" s="20">
        <v>0.1</v>
      </c>
      <c r="G120" s="21">
        <v>0.2</v>
      </c>
      <c r="H120" s="22">
        <f>F120 * G120 * 13450.777056</f>
        <v>269.01554112000008</v>
      </c>
      <c r="I120" s="22">
        <f>F120 * G120 * 16865.39916</f>
        <v>337.30798320000008</v>
      </c>
      <c r="J120" s="22">
        <f>F120 * G120 * 0</f>
        <v>0</v>
      </c>
      <c r="K120" s="22">
        <f>F120 * G120 * 12805.1397569999</f>
        <v>256.10279513999808</v>
      </c>
      <c r="L120" s="22">
        <f>F120 * G120 * 4833.110231</f>
        <v>96.662204620000011</v>
      </c>
      <c r="M120" s="22">
        <f>F120 * G120 * 2690.155411</f>
        <v>53.803108220000013</v>
      </c>
      <c r="N120" s="26">
        <f>SUM(H120:M120)</f>
        <v>1012.8916322999983</v>
      </c>
      <c r="O120" s="29">
        <v>1.5453613333028167E-2</v>
      </c>
    </row>
    <row r="121" spans="2:15" ht="25.5">
      <c r="B121" s="17">
        <v>75</v>
      </c>
      <c r="C121" s="18" t="s">
        <v>302</v>
      </c>
      <c r="D121" s="19" t="s">
        <v>303</v>
      </c>
      <c r="E121" s="19" t="s">
        <v>304</v>
      </c>
      <c r="F121" s="20">
        <v>0.08</v>
      </c>
      <c r="G121" s="21">
        <v>0.2</v>
      </c>
      <c r="H121" s="22">
        <f>F121 * G121 * 4931.951587</f>
        <v>78.911225391999992</v>
      </c>
      <c r="I121" s="22">
        <f>F121 * G121 * 4095.899254</f>
        <v>65.534388063999998</v>
      </c>
      <c r="J121" s="22">
        <f>F121 * G121 * 0</f>
        <v>0</v>
      </c>
      <c r="K121" s="22">
        <f>F121 * G121 * 4695.217911</f>
        <v>75.123486575999991</v>
      </c>
      <c r="L121" s="22">
        <f>F121 * G121 * 1551.847931</f>
        <v>24.829566895999999</v>
      </c>
      <c r="M121" s="22">
        <f>F121 * G121 * 986.390317</f>
        <v>15.782245072</v>
      </c>
      <c r="N121" s="26">
        <f>SUM(H121:M121)</f>
        <v>260.18091199999998</v>
      </c>
      <c r="O121" s="29">
        <v>3.9695610887342846E-3</v>
      </c>
    </row>
    <row r="122" spans="2:15" s="14" customFormat="1" ht="12.75">
      <c r="B122" s="15"/>
      <c r="C122" s="16" t="s">
        <v>305</v>
      </c>
      <c r="D122" s="43" t="s">
        <v>306</v>
      </c>
      <c r="E122" s="43"/>
      <c r="F122" s="43"/>
      <c r="G122" s="43"/>
      <c r="H122" s="43"/>
      <c r="I122" s="43"/>
      <c r="J122" s="43"/>
      <c r="K122" s="43"/>
      <c r="L122" s="43"/>
      <c r="M122" s="43"/>
      <c r="N122" s="44"/>
      <c r="O122" s="28"/>
    </row>
    <row r="123" spans="2:15" s="14" customFormat="1" ht="12.75">
      <c r="B123" s="15"/>
      <c r="C123" s="16" t="s">
        <v>307</v>
      </c>
      <c r="D123" s="45" t="s">
        <v>308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6"/>
      <c r="O123" s="31"/>
    </row>
    <row r="124" spans="2:15">
      <c r="B124" s="17">
        <v>76</v>
      </c>
      <c r="C124" s="18" t="s">
        <v>309</v>
      </c>
      <c r="D124" s="19" t="s">
        <v>310</v>
      </c>
      <c r="E124" s="19" t="s">
        <v>311</v>
      </c>
      <c r="F124" s="20">
        <v>0.1</v>
      </c>
      <c r="G124" s="21">
        <v>0.2</v>
      </c>
      <c r="H124" s="22">
        <f>F124 * G124 * 11657.340115</f>
        <v>233.14680230000008</v>
      </c>
      <c r="I124" s="22">
        <f>F124 * G124 * 55777.638966</f>
        <v>1115.5527793200001</v>
      </c>
      <c r="J124" s="22">
        <f>F124 * G124 * 0</f>
        <v>0</v>
      </c>
      <c r="K124" s="22">
        <f>F124 * G124 * 11097.78779</f>
        <v>221.95575580000005</v>
      </c>
      <c r="L124" s="22">
        <f>F124 * G124 * 8531.176781</f>
        <v>170.62353562000004</v>
      </c>
      <c r="M124" s="22">
        <f>F124 * G124 * 2331.468023</f>
        <v>46.629360460000008</v>
      </c>
      <c r="N124" s="26">
        <f>SUM(H124:M124)</f>
        <v>1787.9082335000003</v>
      </c>
      <c r="O124" s="29">
        <v>2.7277984765958749E-2</v>
      </c>
    </row>
    <row r="125" spans="2:15">
      <c r="B125" s="17">
        <v>77</v>
      </c>
      <c r="C125" s="18" t="s">
        <v>312</v>
      </c>
      <c r="D125" s="19" t="s">
        <v>313</v>
      </c>
      <c r="E125" s="19" t="s">
        <v>311</v>
      </c>
      <c r="F125" s="20">
        <v>0.1</v>
      </c>
      <c r="G125" s="21">
        <v>0.2</v>
      </c>
      <c r="H125" s="22">
        <f>F125 * G125 * 6501.20891</f>
        <v>130.02417820000002</v>
      </c>
      <c r="I125" s="22">
        <f>F125 * G125 * 8174.30016</f>
        <v>163.48600320000003</v>
      </c>
      <c r="J125" s="22">
        <f>F125 * G125 * 0</f>
        <v>0</v>
      </c>
      <c r="K125" s="22">
        <f>F125 * G125 * 6189.150882</f>
        <v>123.78301764000003</v>
      </c>
      <c r="L125" s="22">
        <f>F125 * G125 * 2338.397133</f>
        <v>46.76794266000001</v>
      </c>
      <c r="M125" s="22">
        <f>F125 * G125 * 1300.241782</f>
        <v>26.004835640000007</v>
      </c>
      <c r="N125" s="26">
        <f>SUM(H125:M125)</f>
        <v>490.06597734000013</v>
      </c>
      <c r="O125" s="29">
        <v>7.4769006673379738E-3</v>
      </c>
    </row>
    <row r="126" spans="2:15" s="14" customFormat="1" ht="12.75">
      <c r="B126" s="15"/>
      <c r="C126" s="16" t="s">
        <v>314</v>
      </c>
      <c r="D126" s="43" t="s">
        <v>315</v>
      </c>
      <c r="E126" s="43"/>
      <c r="F126" s="43"/>
      <c r="G126" s="43"/>
      <c r="H126" s="43"/>
      <c r="I126" s="43"/>
      <c r="J126" s="43"/>
      <c r="K126" s="43"/>
      <c r="L126" s="43"/>
      <c r="M126" s="43"/>
      <c r="N126" s="44"/>
      <c r="O126" s="28"/>
    </row>
    <row r="127" spans="2:15" ht="25.5">
      <c r="B127" s="17">
        <v>78</v>
      </c>
      <c r="C127" s="18" t="s">
        <v>316</v>
      </c>
      <c r="D127" s="19" t="s">
        <v>317</v>
      </c>
      <c r="E127" s="19" t="s">
        <v>318</v>
      </c>
      <c r="F127" s="20">
        <v>0.16600000000000001</v>
      </c>
      <c r="G127" s="21">
        <v>0.2</v>
      </c>
      <c r="H127" s="22">
        <f>F127 * G127 * 14519.174395</f>
        <v>482.03658991399999</v>
      </c>
      <c r="I127" s="22">
        <f>F127 * G127 * 1617.242629</f>
        <v>53.692455282800005</v>
      </c>
      <c r="J127" s="22">
        <f>F127 * G127 * 0</f>
        <v>0</v>
      </c>
      <c r="K127" s="22">
        <f>F127 * G127 * 13822.254024</f>
        <v>458.89883359679999</v>
      </c>
      <c r="L127" s="22">
        <f>F127 * G127 * 3466.994376</f>
        <v>115.10421328320001</v>
      </c>
      <c r="M127" s="22">
        <f>F127 * G127 * 2903.834879</f>
        <v>96.407317982799995</v>
      </c>
      <c r="N127" s="26">
        <f>SUM(H127:M127)</f>
        <v>1206.1394100596001</v>
      </c>
      <c r="O127" s="29">
        <v>1.840198050255706E-2</v>
      </c>
    </row>
    <row r="128" spans="2:15" s="14" customFormat="1" ht="12.75">
      <c r="B128" s="15"/>
      <c r="C128" s="16" t="s">
        <v>319</v>
      </c>
      <c r="D128" s="43" t="s">
        <v>320</v>
      </c>
      <c r="E128" s="43"/>
      <c r="F128" s="43"/>
      <c r="G128" s="43"/>
      <c r="H128" s="43"/>
      <c r="I128" s="43"/>
      <c r="J128" s="43"/>
      <c r="K128" s="43"/>
      <c r="L128" s="43"/>
      <c r="M128" s="43"/>
      <c r="N128" s="44"/>
      <c r="O128" s="28"/>
    </row>
    <row r="129" spans="2:15" ht="25.5">
      <c r="B129" s="17">
        <v>79</v>
      </c>
      <c r="C129" s="18" t="s">
        <v>321</v>
      </c>
      <c r="D129" s="19" t="s">
        <v>322</v>
      </c>
      <c r="E129" s="19" t="s">
        <v>182</v>
      </c>
      <c r="F129" s="20">
        <v>0.4</v>
      </c>
      <c r="G129" s="21">
        <v>0.2</v>
      </c>
      <c r="H129" s="22">
        <f>F129 * G129 * 8701.987399</f>
        <v>696.15899192000006</v>
      </c>
      <c r="I129" s="22">
        <f>F129 * G129 * 2700.133373</f>
        <v>216.01066984000005</v>
      </c>
      <c r="J129" s="22">
        <f>F129 * G129 * 0</f>
        <v>0</v>
      </c>
      <c r="K129" s="22">
        <f>F129 * G129 * 8284.292003</f>
        <v>662.74336024000013</v>
      </c>
      <c r="L129" s="22">
        <f>F129 * G129 * 2260.528482</f>
        <v>180.84227856000004</v>
      </c>
      <c r="M129" s="22">
        <f>F129 * G129 * 1740.39748</f>
        <v>139.23179840000003</v>
      </c>
      <c r="N129" s="26">
        <f>SUM(H129:M129)</f>
        <v>1894.9870989600004</v>
      </c>
      <c r="O129" s="29">
        <v>2.8911679161479315E-2</v>
      </c>
    </row>
    <row r="130" spans="2:15" ht="25.5">
      <c r="B130" s="17">
        <v>80</v>
      </c>
      <c r="C130" s="18" t="s">
        <v>323</v>
      </c>
      <c r="D130" s="19" t="s">
        <v>324</v>
      </c>
      <c r="E130" s="19" t="s">
        <v>325</v>
      </c>
      <c r="F130" s="20">
        <v>2.4</v>
      </c>
      <c r="G130" s="21">
        <v>0.2</v>
      </c>
      <c r="H130" s="22">
        <f>F130 * G130 * 2839.595888</f>
        <v>1363.0060262399998</v>
      </c>
      <c r="I130" s="22">
        <f>F130 * G130 * 589.023567</f>
        <v>282.73131215999996</v>
      </c>
      <c r="J130" s="22">
        <f>F130 * G130 * 0</f>
        <v>0</v>
      </c>
      <c r="K130" s="22">
        <f>F130 * G130 * 2703.295285</f>
        <v>1297.5817368</v>
      </c>
      <c r="L130" s="22">
        <f>F130 * G130 * 706.832479</f>
        <v>339.27958991999998</v>
      </c>
      <c r="M130" s="22">
        <f>F130 * G130 * 567.919178</f>
        <v>272.60120544</v>
      </c>
      <c r="N130" s="26">
        <f>SUM(H130:M130)</f>
        <v>3555.1998705599999</v>
      </c>
      <c r="O130" s="29">
        <v>5.4241423632369092E-2</v>
      </c>
    </row>
    <row r="131" spans="2:15" ht="25.5">
      <c r="B131" s="17">
        <v>81</v>
      </c>
      <c r="C131" s="18" t="s">
        <v>326</v>
      </c>
      <c r="D131" s="19" t="s">
        <v>327</v>
      </c>
      <c r="E131" s="19" t="s">
        <v>328</v>
      </c>
      <c r="F131" s="20">
        <v>0.04</v>
      </c>
      <c r="G131" s="21">
        <v>0.2</v>
      </c>
      <c r="H131" s="22">
        <f>F131 * G131 * 32878.417104</f>
        <v>263.027336832</v>
      </c>
      <c r="I131" s="22">
        <f>F131 * G131 * 423415.723362</f>
        <v>3387.3257868960004</v>
      </c>
      <c r="J131" s="22">
        <f>F131 * G131 * 0</f>
        <v>0</v>
      </c>
      <c r="K131" s="22">
        <f>F131 * G131 * 31300.253083</f>
        <v>250.40202466400001</v>
      </c>
      <c r="L131" s="22">
        <f>F131 * G131 * 52134.9431199999</f>
        <v>417.07954495999923</v>
      </c>
      <c r="M131" s="22">
        <f>F131 * G131 * 6575.683421</f>
        <v>52.605467367999999</v>
      </c>
      <c r="N131" s="26">
        <f>SUM(H131:M131)</f>
        <v>4370.4401607199998</v>
      </c>
      <c r="O131" s="29">
        <v>6.6679484937141459E-2</v>
      </c>
    </row>
    <row r="132" spans="2:15" s="11" customFormat="1" ht="15">
      <c r="B132" s="12"/>
      <c r="C132" s="13" t="s">
        <v>329</v>
      </c>
      <c r="D132" s="41" t="s">
        <v>330</v>
      </c>
      <c r="E132" s="41"/>
      <c r="F132" s="41"/>
      <c r="G132" s="41"/>
      <c r="H132" s="41"/>
      <c r="I132" s="41"/>
      <c r="J132" s="41"/>
      <c r="K132" s="41"/>
      <c r="L132" s="41"/>
      <c r="M132" s="41"/>
      <c r="N132" s="42"/>
      <c r="O132" s="30"/>
    </row>
    <row r="133" spans="2:15" s="14" customFormat="1" ht="12.75">
      <c r="B133" s="15"/>
      <c r="C133" s="16" t="s">
        <v>331</v>
      </c>
      <c r="D133" s="43" t="s">
        <v>332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4"/>
      <c r="O133" s="28"/>
    </row>
    <row r="134" spans="2:15" s="14" customFormat="1" ht="12.75">
      <c r="B134" s="15"/>
      <c r="C134" s="16" t="s">
        <v>333</v>
      </c>
      <c r="D134" s="45" t="s">
        <v>334</v>
      </c>
      <c r="E134" s="45"/>
      <c r="F134" s="45"/>
      <c r="G134" s="45"/>
      <c r="H134" s="45"/>
      <c r="I134" s="45"/>
      <c r="J134" s="45"/>
      <c r="K134" s="45"/>
      <c r="L134" s="45"/>
      <c r="M134" s="45"/>
      <c r="N134" s="46"/>
      <c r="O134" s="31"/>
    </row>
    <row r="135" spans="2:15" ht="25.5">
      <c r="B135" s="17">
        <v>82</v>
      </c>
      <c r="C135" s="18" t="s">
        <v>335</v>
      </c>
      <c r="D135" s="19" t="s">
        <v>336</v>
      </c>
      <c r="E135" s="19" t="s">
        <v>337</v>
      </c>
      <c r="F135" s="20">
        <v>0.12</v>
      </c>
      <c r="G135" s="21">
        <v>0.2</v>
      </c>
      <c r="H135" s="22">
        <f>F135 * G135 * 14884.978446</f>
        <v>357.23948270400001</v>
      </c>
      <c r="I135" s="22">
        <f>F135 * G135 * 33053.058098</f>
        <v>793.27339435200008</v>
      </c>
      <c r="J135" s="22">
        <f>F135 * G135 * 0</f>
        <v>0</v>
      </c>
      <c r="K135" s="22">
        <f>F135 * G135 * 14170.4994809999</f>
        <v>340.09198754399762</v>
      </c>
      <c r="L135" s="22">
        <f>F135 * G135 * 6866.523596</f>
        <v>164.79656630400001</v>
      </c>
      <c r="M135" s="22">
        <f>F135 * G135 * 2976.995689</f>
        <v>71.447896536000002</v>
      </c>
      <c r="N135" s="26">
        <f>SUM(H135:M135)</f>
        <v>1726.8493274399975</v>
      </c>
      <c r="O135" s="29">
        <v>2.6346413515195861E-2</v>
      </c>
    </row>
    <row r="136" spans="2:15" ht="25.5">
      <c r="B136" s="17">
        <v>83</v>
      </c>
      <c r="C136" s="18" t="s">
        <v>338</v>
      </c>
      <c r="D136" s="19" t="s">
        <v>339</v>
      </c>
      <c r="E136" s="19" t="s">
        <v>337</v>
      </c>
      <c r="F136" s="20">
        <v>0.12</v>
      </c>
      <c r="G136" s="21">
        <v>0.2</v>
      </c>
      <c r="H136" s="22">
        <f>F136 * G136 * 16029.976788</f>
        <v>384.71944291200003</v>
      </c>
      <c r="I136" s="22">
        <f>F136 * G136 * 52982.562098</f>
        <v>1271.5814903520002</v>
      </c>
      <c r="J136" s="22">
        <f>F136 * G136 * 0</f>
        <v>0</v>
      </c>
      <c r="K136" s="22">
        <f>F136 * G136 * 15260.537902</f>
        <v>366.25290964800001</v>
      </c>
      <c r="L136" s="22">
        <f>F136 * G136 * 9229.042112</f>
        <v>221.49701068799999</v>
      </c>
      <c r="M136" s="22">
        <f>F136 * G136 * 3205.995358</f>
        <v>76.943888592000008</v>
      </c>
      <c r="N136" s="26">
        <f>SUM(H136:M136)</f>
        <v>2320.9947421920001</v>
      </c>
      <c r="O136" s="29">
        <v>3.5411246524350057E-2</v>
      </c>
    </row>
    <row r="137" spans="2:15" ht="25.5">
      <c r="B137" s="17">
        <v>84</v>
      </c>
      <c r="C137" s="18" t="s">
        <v>340</v>
      </c>
      <c r="D137" s="19" t="s">
        <v>341</v>
      </c>
      <c r="E137" s="19" t="s">
        <v>337</v>
      </c>
      <c r="F137" s="20">
        <v>0.06</v>
      </c>
      <c r="G137" s="21">
        <v>0.2</v>
      </c>
      <c r="H137" s="22">
        <f>F137 * G137 * 35330.068841</f>
        <v>423.96082609199999</v>
      </c>
      <c r="I137" s="22">
        <f>F137 * G137 * 89866.903789</f>
        <v>1078.4028454680001</v>
      </c>
      <c r="J137" s="22">
        <f>F137 * G137 * 0</f>
        <v>0</v>
      </c>
      <c r="K137" s="22">
        <f>F137 * G137 * 33634.225537</f>
        <v>403.61070644400002</v>
      </c>
      <c r="L137" s="22">
        <f>F137 * G137 * 17502.155859</f>
        <v>210.02587030799998</v>
      </c>
      <c r="M137" s="22">
        <f>F137 * G137 * 7066.013768</f>
        <v>84.792165216000001</v>
      </c>
      <c r="N137" s="26">
        <f>SUM(H137:M137)</f>
        <v>2200.792413528</v>
      </c>
      <c r="O137" s="29">
        <v>3.3577328413401684E-2</v>
      </c>
    </row>
    <row r="138" spans="2:15" s="14" customFormat="1" ht="12.75">
      <c r="B138" s="15"/>
      <c r="C138" s="16" t="s">
        <v>342</v>
      </c>
      <c r="D138" s="43" t="s">
        <v>343</v>
      </c>
      <c r="E138" s="43"/>
      <c r="F138" s="43"/>
      <c r="G138" s="43"/>
      <c r="H138" s="43"/>
      <c r="I138" s="43"/>
      <c r="J138" s="43"/>
      <c r="K138" s="43"/>
      <c r="L138" s="43"/>
      <c r="M138" s="43"/>
      <c r="N138" s="44"/>
      <c r="O138" s="28"/>
    </row>
    <row r="139" spans="2:15" s="14" customFormat="1" ht="12.75">
      <c r="B139" s="15"/>
      <c r="C139" s="16" t="s">
        <v>344</v>
      </c>
      <c r="D139" s="45" t="s">
        <v>345</v>
      </c>
      <c r="E139" s="45"/>
      <c r="F139" s="45"/>
      <c r="G139" s="45"/>
      <c r="H139" s="45"/>
      <c r="I139" s="45"/>
      <c r="J139" s="45"/>
      <c r="K139" s="45"/>
      <c r="L139" s="45"/>
      <c r="M139" s="45"/>
      <c r="N139" s="46"/>
      <c r="O139" s="31"/>
    </row>
    <row r="140" spans="2:15" ht="25.5">
      <c r="B140" s="17">
        <v>85</v>
      </c>
      <c r="C140" s="18" t="s">
        <v>346</v>
      </c>
      <c r="D140" s="19" t="s">
        <v>347</v>
      </c>
      <c r="E140" s="19" t="s">
        <v>348</v>
      </c>
      <c r="F140" s="20">
        <v>0.04</v>
      </c>
      <c r="G140" s="21">
        <v>0.2</v>
      </c>
      <c r="H140" s="22">
        <f>F140 * G140 * 25189.963524</f>
        <v>201.519708192</v>
      </c>
      <c r="I140" s="22">
        <f>F140 * G140 * 1221524.0028</f>
        <v>9772.1920223999987</v>
      </c>
      <c r="J140" s="22">
        <f>F140 * G140 * 0</f>
        <v>0</v>
      </c>
      <c r="K140" s="22">
        <f>F140 * G140 * 23980.845275</f>
        <v>191.8467622</v>
      </c>
      <c r="L140" s="22">
        <f>F140 * G140 * 134589.810855</f>
        <v>1076.71848684</v>
      </c>
      <c r="M140" s="22">
        <f>F140 * G140 * 5037.992705</f>
        <v>40.303941639999998</v>
      </c>
      <c r="N140" s="26">
        <f>SUM(H140:M140)</f>
        <v>11282.580921272</v>
      </c>
      <c r="O140" s="29">
        <v>0.17213750947870132</v>
      </c>
    </row>
    <row r="141" spans="2:15" s="14" customFormat="1" ht="12.75">
      <c r="B141" s="15"/>
      <c r="C141" s="16" t="s">
        <v>349</v>
      </c>
      <c r="D141" s="45" t="s">
        <v>350</v>
      </c>
      <c r="E141" s="45"/>
      <c r="F141" s="45"/>
      <c r="G141" s="45"/>
      <c r="H141" s="45"/>
      <c r="I141" s="45"/>
      <c r="J141" s="45"/>
      <c r="K141" s="45"/>
      <c r="L141" s="45"/>
      <c r="M141" s="45"/>
      <c r="N141" s="46"/>
      <c r="O141" s="31"/>
    </row>
    <row r="142" spans="2:15" ht="25.5">
      <c r="B142" s="17">
        <v>86</v>
      </c>
      <c r="C142" s="18" t="s">
        <v>351</v>
      </c>
      <c r="D142" s="19" t="s">
        <v>352</v>
      </c>
      <c r="E142" s="19" t="s">
        <v>353</v>
      </c>
      <c r="F142" s="20">
        <v>0.04</v>
      </c>
      <c r="G142" s="21">
        <v>1</v>
      </c>
      <c r="H142" s="22">
        <f>F142 * G142 * 65370.776492</f>
        <v>2614.8310596799997</v>
      </c>
      <c r="I142" s="22">
        <f>F142 * G142 * 2874.438408</f>
        <v>114.97753632</v>
      </c>
      <c r="J142" s="22">
        <f>F142 * G142 * 0</f>
        <v>0</v>
      </c>
      <c r="K142" s="22">
        <f>F142 * G142 * 62232.979221</f>
        <v>2489.3191688400002</v>
      </c>
      <c r="L142" s="22">
        <f>F142 * G142 * 15144.772864</f>
        <v>605.79091456000003</v>
      </c>
      <c r="M142" s="22">
        <f>F142 * G142 * 13074.155298</f>
        <v>522.96621191999998</v>
      </c>
      <c r="N142" s="26">
        <f>SUM(H142:M142)</f>
        <v>6347.88489132</v>
      </c>
      <c r="O142" s="29">
        <v>9.6849214135847683E-2</v>
      </c>
    </row>
    <row r="143" spans="2:15" s="14" customFormat="1" ht="12.75">
      <c r="B143" s="15"/>
      <c r="C143" s="16" t="s">
        <v>354</v>
      </c>
      <c r="D143" s="43" t="s">
        <v>355</v>
      </c>
      <c r="E143" s="43"/>
      <c r="F143" s="43"/>
      <c r="G143" s="43"/>
      <c r="H143" s="43"/>
      <c r="I143" s="43"/>
      <c r="J143" s="43"/>
      <c r="K143" s="43"/>
      <c r="L143" s="43"/>
      <c r="M143" s="43"/>
      <c r="N143" s="44"/>
      <c r="O143" s="28"/>
    </row>
    <row r="144" spans="2:15" s="14" customFormat="1" ht="12.75">
      <c r="B144" s="15"/>
      <c r="C144" s="16" t="s">
        <v>356</v>
      </c>
      <c r="D144" s="45" t="s">
        <v>357</v>
      </c>
      <c r="E144" s="45"/>
      <c r="F144" s="45"/>
      <c r="G144" s="45"/>
      <c r="H144" s="45"/>
      <c r="I144" s="45"/>
      <c r="J144" s="45"/>
      <c r="K144" s="45"/>
      <c r="L144" s="45"/>
      <c r="M144" s="45"/>
      <c r="N144" s="46"/>
      <c r="O144" s="31"/>
    </row>
    <row r="145" spans="2:15" ht="38.25">
      <c r="B145" s="17">
        <v>87</v>
      </c>
      <c r="C145" s="18" t="s">
        <v>358</v>
      </c>
      <c r="D145" s="19" t="s">
        <v>359</v>
      </c>
      <c r="E145" s="19" t="s">
        <v>360</v>
      </c>
      <c r="F145" s="20">
        <v>0.1</v>
      </c>
      <c r="G145" s="21">
        <v>1</v>
      </c>
      <c r="H145" s="22">
        <f>F145 * G145 * 27687.789457</f>
        <v>2768.7789456999999</v>
      </c>
      <c r="I145" s="22">
        <f>F145 * G145 * 3020.412048</f>
        <v>302.0412048</v>
      </c>
      <c r="J145" s="22">
        <f>F145 * G145 * 0</f>
        <v>0</v>
      </c>
      <c r="K145" s="22">
        <f>F145 * G145 * 26358.775563</f>
        <v>2635.8775562999999</v>
      </c>
      <c r="L145" s="22">
        <f>F145 * G145 * 6604.778438</f>
        <v>660.47784380000007</v>
      </c>
      <c r="M145" s="22">
        <f>F145 * G145 * 5537.557891</f>
        <v>553.75578910000002</v>
      </c>
      <c r="N145" s="26">
        <f>SUM(H145:M145)</f>
        <v>6920.9313396999996</v>
      </c>
      <c r="O145" s="29">
        <v>0.10559214176278531</v>
      </c>
    </row>
    <row r="146" spans="2:15" s="14" customFormat="1" ht="12.75">
      <c r="B146" s="15"/>
      <c r="C146" s="16" t="s">
        <v>361</v>
      </c>
      <c r="D146" s="43" t="s">
        <v>362</v>
      </c>
      <c r="E146" s="43"/>
      <c r="F146" s="43"/>
      <c r="G146" s="43"/>
      <c r="H146" s="43"/>
      <c r="I146" s="43"/>
      <c r="J146" s="43"/>
      <c r="K146" s="43"/>
      <c r="L146" s="43"/>
      <c r="M146" s="43"/>
      <c r="N146" s="44"/>
      <c r="O146" s="28"/>
    </row>
    <row r="147" spans="2:15">
      <c r="B147" s="17">
        <v>88</v>
      </c>
      <c r="C147" s="18" t="s">
        <v>363</v>
      </c>
      <c r="D147" s="19" t="s">
        <v>364</v>
      </c>
      <c r="E147" s="19" t="s">
        <v>365</v>
      </c>
      <c r="F147" s="20">
        <v>2</v>
      </c>
      <c r="G147" s="21">
        <v>0.1</v>
      </c>
      <c r="H147" s="22">
        <f>F147 * G147 * 526.054674</f>
        <v>105.2109348</v>
      </c>
      <c r="I147" s="22">
        <f>F147 * G147 * 42875.042359</f>
        <v>8575.0084717999998</v>
      </c>
      <c r="J147" s="22">
        <f>F147 * G147 * 0</f>
        <v>0</v>
      </c>
      <c r="K147" s="22">
        <f>F147 * G147 * 500.80405</f>
        <v>100.16081000000001</v>
      </c>
      <c r="L147" s="22">
        <f>F147 * G147 * 4642.750318</f>
        <v>928.55006360000016</v>
      </c>
      <c r="M147" s="22">
        <f>F147 * G147 * 105.210935</f>
        <v>21.042187000000002</v>
      </c>
      <c r="N147" s="26">
        <f>SUM(H147:M147)</f>
        <v>9729.9724671999975</v>
      </c>
      <c r="O147" s="29">
        <v>0.14844947618698887</v>
      </c>
    </row>
    <row r="148" spans="2:15">
      <c r="B148" s="17">
        <v>89</v>
      </c>
      <c r="C148" s="18" t="s">
        <v>366</v>
      </c>
      <c r="D148" s="19" t="s">
        <v>367</v>
      </c>
      <c r="E148" s="19" t="s">
        <v>365</v>
      </c>
      <c r="F148" s="20">
        <v>2</v>
      </c>
      <c r="G148" s="21">
        <v>0.1</v>
      </c>
      <c r="H148" s="22">
        <f>F148 * G148 * 639.864579</f>
        <v>127.97291580000001</v>
      </c>
      <c r="I148" s="22">
        <f>F148 * G148 * 144609.6</f>
        <v>28921.920000000002</v>
      </c>
      <c r="J148" s="22">
        <f>F148 * G148 * 0</f>
        <v>0</v>
      </c>
      <c r="K148" s="22">
        <f>F148 * G148 * 609.151079</f>
        <v>121.8302158</v>
      </c>
      <c r="L148" s="22">
        <f>F148 * G148 * 15401.585095</f>
        <v>3080.3170190000001</v>
      </c>
      <c r="M148" s="22">
        <f>F148 * G148 * 127.972916</f>
        <v>25.594583200000002</v>
      </c>
      <c r="N148" s="26">
        <f>SUM(H148:M148)</f>
        <v>32277.634733800005</v>
      </c>
      <c r="O148" s="29">
        <v>0.49245750539790073</v>
      </c>
    </row>
    <row r="149" spans="2:15" s="14" customFormat="1" ht="12.75">
      <c r="B149" s="15"/>
      <c r="C149" s="16" t="s">
        <v>368</v>
      </c>
      <c r="D149" s="43" t="s">
        <v>369</v>
      </c>
      <c r="E149" s="43"/>
      <c r="F149" s="43"/>
      <c r="G149" s="43"/>
      <c r="H149" s="43"/>
      <c r="I149" s="43"/>
      <c r="J149" s="43"/>
      <c r="K149" s="43"/>
      <c r="L149" s="43"/>
      <c r="M149" s="43"/>
      <c r="N149" s="44"/>
      <c r="O149" s="28"/>
    </row>
    <row r="150" spans="2:15" s="14" customFormat="1" ht="12.75">
      <c r="B150" s="15"/>
      <c r="C150" s="16" t="s">
        <v>370</v>
      </c>
      <c r="D150" s="45" t="s">
        <v>371</v>
      </c>
      <c r="E150" s="45"/>
      <c r="F150" s="45"/>
      <c r="G150" s="45"/>
      <c r="H150" s="45"/>
      <c r="I150" s="45"/>
      <c r="J150" s="45"/>
      <c r="K150" s="45"/>
      <c r="L150" s="45"/>
      <c r="M150" s="45"/>
      <c r="N150" s="46"/>
      <c r="O150" s="31"/>
    </row>
    <row r="151" spans="2:15">
      <c r="B151" s="17">
        <v>90</v>
      </c>
      <c r="C151" s="18" t="s">
        <v>372</v>
      </c>
      <c r="D151" s="19" t="s">
        <v>373</v>
      </c>
      <c r="E151" s="19" t="s">
        <v>374</v>
      </c>
      <c r="F151" s="20">
        <v>0.02</v>
      </c>
      <c r="G151" s="21">
        <v>0.1</v>
      </c>
      <c r="H151" s="22">
        <f>F151 * G151 * 64119.907152</f>
        <v>128.23981430399999</v>
      </c>
      <c r="I151" s="22">
        <f>F151 * G151 * 745432.847544</f>
        <v>1490.8656950880002</v>
      </c>
      <c r="J151" s="22">
        <f>F151 * G151 * 0</f>
        <v>0</v>
      </c>
      <c r="K151" s="22">
        <f>F151 * G151 * 61042.151609</f>
        <v>122.084303218</v>
      </c>
      <c r="L151" s="22">
        <f>F151 * G151 * 93200.692656</f>
        <v>186.401385312</v>
      </c>
      <c r="M151" s="22">
        <f>F151 * G151 * 12823.98143</f>
        <v>25.64796286</v>
      </c>
      <c r="N151" s="26">
        <f>SUM(H151:M151)</f>
        <v>1953.2391607820002</v>
      </c>
      <c r="O151" s="29">
        <v>2.9800426595599908E-2</v>
      </c>
    </row>
    <row r="152" spans="2:15" s="14" customFormat="1" ht="12.75">
      <c r="B152" s="15"/>
      <c r="C152" s="16" t="s">
        <v>375</v>
      </c>
      <c r="D152" s="45" t="s">
        <v>376</v>
      </c>
      <c r="E152" s="45"/>
      <c r="F152" s="45"/>
      <c r="G152" s="45"/>
      <c r="H152" s="45"/>
      <c r="I152" s="45"/>
      <c r="J152" s="45"/>
      <c r="K152" s="45"/>
      <c r="L152" s="45"/>
      <c r="M152" s="45"/>
      <c r="N152" s="46"/>
      <c r="O152" s="31"/>
    </row>
    <row r="153" spans="2:15" ht="25.5">
      <c r="B153" s="17">
        <v>91</v>
      </c>
      <c r="C153" s="18" t="s">
        <v>377</v>
      </c>
      <c r="D153" s="19" t="s">
        <v>378</v>
      </c>
      <c r="E153" s="19" t="s">
        <v>374</v>
      </c>
      <c r="F153" s="20">
        <v>0.02</v>
      </c>
      <c r="G153" s="21">
        <v>1</v>
      </c>
      <c r="H153" s="22">
        <f>F153 * G153 * 93889.864044</f>
        <v>1877.79728088</v>
      </c>
      <c r="I153" s="22">
        <f>F153 * G153 * 15610.084056</f>
        <v>312.20168111999999</v>
      </c>
      <c r="J153" s="22">
        <f>F153 * G153 * 0</f>
        <v>0</v>
      </c>
      <c r="K153" s="22">
        <f>F153 * G153 * 89383.15057</f>
        <v>1787.6630114</v>
      </c>
      <c r="L153" s="22">
        <f>F153 * G153 * 22963.243041</f>
        <v>459.26486082000002</v>
      </c>
      <c r="M153" s="22">
        <f>F153 * G153 * 18777.972809</f>
        <v>375.55945617999998</v>
      </c>
      <c r="N153" s="26">
        <f>SUM(H153:M153)</f>
        <v>4812.4862904000001</v>
      </c>
      <c r="O153" s="29">
        <v>7.3423750311241306E-2</v>
      </c>
    </row>
    <row r="154" spans="2:15" s="14" customFormat="1" ht="12.75">
      <c r="B154" s="15"/>
      <c r="C154" s="16" t="s">
        <v>379</v>
      </c>
      <c r="D154" s="45" t="s">
        <v>380</v>
      </c>
      <c r="E154" s="45"/>
      <c r="F154" s="45"/>
      <c r="G154" s="45"/>
      <c r="H154" s="45"/>
      <c r="I154" s="45"/>
      <c r="J154" s="45"/>
      <c r="K154" s="45"/>
      <c r="L154" s="45"/>
      <c r="M154" s="45"/>
      <c r="N154" s="46"/>
      <c r="O154" s="31"/>
    </row>
    <row r="155" spans="2:15">
      <c r="B155" s="17">
        <v>92</v>
      </c>
      <c r="C155" s="18" t="s">
        <v>381</v>
      </c>
      <c r="D155" s="19" t="s">
        <v>382</v>
      </c>
      <c r="E155" s="19" t="s">
        <v>383</v>
      </c>
      <c r="F155" s="20">
        <v>0.04</v>
      </c>
      <c r="G155" s="21">
        <v>1</v>
      </c>
      <c r="H155" s="22">
        <f>F155 * G155 * 13151.366842</f>
        <v>526.05467367999995</v>
      </c>
      <c r="I155" s="22">
        <f>F155 * G155 * 49435.410606</f>
        <v>1977.41642424</v>
      </c>
      <c r="J155" s="22">
        <f>F155 * G155 * 0</f>
        <v>0</v>
      </c>
      <c r="K155" s="22">
        <f>F155 * G155 * 12520.101233</f>
        <v>500.80404931999999</v>
      </c>
      <c r="L155" s="22">
        <f>F155 * G155 * 8201.269541</f>
        <v>328.05078163999997</v>
      </c>
      <c r="M155" s="22">
        <f>F155 * G155 * 2630.273368</f>
        <v>105.21093472000001</v>
      </c>
      <c r="N155" s="26">
        <f>SUM(H155:M155)</f>
        <v>3437.5368635999998</v>
      </c>
      <c r="O155" s="29">
        <v>5.2446247766385935E-2</v>
      </c>
    </row>
    <row r="156" spans="2:15">
      <c r="B156" s="17">
        <v>93</v>
      </c>
      <c r="C156" s="18" t="s">
        <v>384</v>
      </c>
      <c r="D156" s="19" t="s">
        <v>385</v>
      </c>
      <c r="E156" s="19" t="s">
        <v>383</v>
      </c>
      <c r="F156" s="20">
        <v>0.02</v>
      </c>
      <c r="G156" s="21">
        <v>1</v>
      </c>
      <c r="H156" s="22">
        <f>F156 * G156 * 13151.366842</f>
        <v>263.02733683999998</v>
      </c>
      <c r="I156" s="22">
        <f>F156 * G156 * 130942.26172</f>
        <v>2618.8452343999998</v>
      </c>
      <c r="J156" s="22">
        <f>F156 * G156 * 0</f>
        <v>0</v>
      </c>
      <c r="K156" s="22">
        <f>F156 * G156 * 12520.101233</f>
        <v>250.40202466</v>
      </c>
      <c r="L156" s="22">
        <f>F156 * G156 * 16800.242334</f>
        <v>336.00484667999996</v>
      </c>
      <c r="M156" s="22">
        <f>F156 * G156 * 2630.273368</f>
        <v>52.605467360000006</v>
      </c>
      <c r="N156" s="26">
        <f>SUM(H156:M156)</f>
        <v>3520.8849099399995</v>
      </c>
      <c r="O156" s="29">
        <v>5.3717882795374094E-2</v>
      </c>
    </row>
    <row r="157" spans="2:15" s="14" customFormat="1" ht="12.75">
      <c r="B157" s="15"/>
      <c r="C157" s="16" t="s">
        <v>386</v>
      </c>
      <c r="D157" s="45" t="s">
        <v>387</v>
      </c>
      <c r="E157" s="45"/>
      <c r="F157" s="45"/>
      <c r="G157" s="45"/>
      <c r="H157" s="45"/>
      <c r="I157" s="45"/>
      <c r="J157" s="45"/>
      <c r="K157" s="45"/>
      <c r="L157" s="45"/>
      <c r="M157" s="45"/>
      <c r="N157" s="46"/>
      <c r="O157" s="31"/>
    </row>
    <row r="158" spans="2:15" ht="25.5">
      <c r="B158" s="17">
        <v>94</v>
      </c>
      <c r="C158" s="18" t="s">
        <v>388</v>
      </c>
      <c r="D158" s="19" t="s">
        <v>389</v>
      </c>
      <c r="E158" s="19" t="s">
        <v>390</v>
      </c>
      <c r="F158" s="20">
        <v>0.06</v>
      </c>
      <c r="G158" s="21">
        <v>1</v>
      </c>
      <c r="H158" s="22">
        <f>F158 * G158 * 26239.978512</f>
        <v>1574.3987107200001</v>
      </c>
      <c r="I158" s="22">
        <f>F158 * G158 * 45307.313401</f>
        <v>2718.4388040599997</v>
      </c>
      <c r="J158" s="22">
        <f>F158 * G158 * 0</f>
        <v>0</v>
      </c>
      <c r="K158" s="22">
        <f>F158 * G158 * 24980.459544</f>
        <v>1498.82757264</v>
      </c>
      <c r="L158" s="22">
        <f>F158 * G158 * 10737.341325</f>
        <v>644.24047949999999</v>
      </c>
      <c r="M158" s="22">
        <f>F158 * G158 * 5247.995702</f>
        <v>314.87974212</v>
      </c>
      <c r="N158" s="26">
        <f>SUM(H158:M158)</f>
        <v>6750.7853090399994</v>
      </c>
      <c r="O158" s="29">
        <v>0.10299623625411936</v>
      </c>
    </row>
    <row r="159" spans="2:15" s="11" customFormat="1" ht="15">
      <c r="B159" s="12"/>
      <c r="C159" s="13" t="s">
        <v>391</v>
      </c>
      <c r="D159" s="41" t="s">
        <v>392</v>
      </c>
      <c r="E159" s="41"/>
      <c r="F159" s="41"/>
      <c r="G159" s="41"/>
      <c r="H159" s="41"/>
      <c r="I159" s="41"/>
      <c r="J159" s="41"/>
      <c r="K159" s="41"/>
      <c r="L159" s="41"/>
      <c r="M159" s="41"/>
      <c r="N159" s="42"/>
      <c r="O159" s="30"/>
    </row>
    <row r="160" spans="2:15" s="14" customFormat="1" ht="12.75">
      <c r="B160" s="15"/>
      <c r="C160" s="16" t="s">
        <v>393</v>
      </c>
      <c r="D160" s="43" t="s">
        <v>394</v>
      </c>
      <c r="E160" s="43"/>
      <c r="F160" s="43"/>
      <c r="G160" s="43"/>
      <c r="H160" s="43"/>
      <c r="I160" s="43"/>
      <c r="J160" s="43"/>
      <c r="K160" s="43"/>
      <c r="L160" s="43"/>
      <c r="M160" s="43"/>
      <c r="N160" s="44"/>
      <c r="O160" s="28"/>
    </row>
    <row r="161" spans="2:15" s="14" customFormat="1" ht="12.75">
      <c r="B161" s="15"/>
      <c r="C161" s="16" t="s">
        <v>395</v>
      </c>
      <c r="D161" s="45" t="s">
        <v>396</v>
      </c>
      <c r="E161" s="45"/>
      <c r="F161" s="45"/>
      <c r="G161" s="45"/>
      <c r="H161" s="45"/>
      <c r="I161" s="45"/>
      <c r="J161" s="45"/>
      <c r="K161" s="45"/>
      <c r="L161" s="45"/>
      <c r="M161" s="45"/>
      <c r="N161" s="46"/>
      <c r="O161" s="31"/>
    </row>
    <row r="162" spans="2:15" ht="38.25">
      <c r="B162" s="17">
        <v>95</v>
      </c>
      <c r="C162" s="18" t="s">
        <v>397</v>
      </c>
      <c r="D162" s="19" t="s">
        <v>398</v>
      </c>
      <c r="E162" s="19" t="s">
        <v>399</v>
      </c>
      <c r="F162" s="20">
        <v>0.02</v>
      </c>
      <c r="G162" s="21">
        <v>1</v>
      </c>
      <c r="H162" s="22">
        <f>F162 * G162 * 27800.559744</f>
        <v>556.01119487999995</v>
      </c>
      <c r="I162" s="22">
        <f>F162 * G162 * 35999.994921</f>
        <v>719.99989842000002</v>
      </c>
      <c r="J162" s="22">
        <f>F162 * G162 * 0</f>
        <v>0</v>
      </c>
      <c r="K162" s="22">
        <f>F162 * G162 * 26466.132877</f>
        <v>529.32265754000002</v>
      </c>
      <c r="L162" s="22">
        <f>F162 * G162 * 10109.727346</f>
        <v>202.19454691999999</v>
      </c>
      <c r="M162" s="22">
        <f>F162 * G162 * 5560.111949</f>
        <v>111.20223898</v>
      </c>
      <c r="N162" s="26">
        <f>SUM(H162:M162)</f>
        <v>2118.7305367399999</v>
      </c>
      <c r="O162" s="29">
        <v>3.2325316378921033E-2</v>
      </c>
    </row>
    <row r="163" spans="2:15" ht="38.25">
      <c r="B163" s="17">
        <v>96</v>
      </c>
      <c r="C163" s="18" t="s">
        <v>400</v>
      </c>
      <c r="D163" s="19" t="s">
        <v>401</v>
      </c>
      <c r="E163" s="19" t="s">
        <v>399</v>
      </c>
      <c r="F163" s="20">
        <v>0.02</v>
      </c>
      <c r="G163" s="21">
        <v>1</v>
      </c>
      <c r="H163" s="22">
        <f>F163 * G163 * 30892.055267</f>
        <v>617.84110534000001</v>
      </c>
      <c r="I163" s="22">
        <f>F163 * G163 * 48370.310861</f>
        <v>967.40621722000003</v>
      </c>
      <c r="J163" s="22">
        <f>F163 * G163 * 0</f>
        <v>0</v>
      </c>
      <c r="K163" s="22">
        <f>F163 * G163 * 29409.236615</f>
        <v>588.18473230000006</v>
      </c>
      <c r="L163" s="22">
        <f>F163 * G163 * 12116.6764549999</f>
        <v>242.33352909999803</v>
      </c>
      <c r="M163" s="22">
        <f>F163 * G163 * 6178.411053</f>
        <v>123.56822106</v>
      </c>
      <c r="N163" s="26">
        <f>SUM(H163:M163)</f>
        <v>2539.3338050199982</v>
      </c>
      <c r="O163" s="29">
        <v>3.8742429589588644E-2</v>
      </c>
    </row>
    <row r="164" spans="2:15" s="14" customFormat="1" ht="12.75">
      <c r="B164" s="15"/>
      <c r="C164" s="16" t="s">
        <v>402</v>
      </c>
      <c r="D164" s="45" t="s">
        <v>403</v>
      </c>
      <c r="E164" s="45"/>
      <c r="F164" s="45"/>
      <c r="G164" s="45"/>
      <c r="H164" s="45"/>
      <c r="I164" s="45"/>
      <c r="J164" s="45"/>
      <c r="K164" s="45"/>
      <c r="L164" s="45"/>
      <c r="M164" s="45"/>
      <c r="N164" s="46"/>
      <c r="O164" s="31"/>
    </row>
    <row r="165" spans="2:15" ht="38.25">
      <c r="B165" s="17">
        <v>97</v>
      </c>
      <c r="C165" s="18" t="s">
        <v>404</v>
      </c>
      <c r="D165" s="19" t="s">
        <v>405</v>
      </c>
      <c r="E165" s="19" t="s">
        <v>399</v>
      </c>
      <c r="F165" s="20"/>
      <c r="G165" s="21">
        <v>1</v>
      </c>
      <c r="H165" s="22">
        <f>F165 * G165 * 14884.978446</f>
        <v>0</v>
      </c>
      <c r="I165" s="22">
        <f>F165 * G165 * 33027.793932</f>
        <v>0</v>
      </c>
      <c r="J165" s="22">
        <f>F165 * G165 * 0</f>
        <v>0</v>
      </c>
      <c r="K165" s="22">
        <f>F165 * G165 * 14170.4994809999</f>
        <v>0</v>
      </c>
      <c r="L165" s="22">
        <f>F165 * G165 * 6863.858227</f>
        <v>0</v>
      </c>
      <c r="M165" s="22">
        <f>F165 * G165 * 2976.995689</f>
        <v>0</v>
      </c>
      <c r="N165" s="26">
        <f>SUM(H165:M165)</f>
        <v>0</v>
      </c>
      <c r="O165" s="29">
        <v>0</v>
      </c>
    </row>
    <row r="166" spans="2:15" s="14" customFormat="1" ht="12.75">
      <c r="B166" s="15"/>
      <c r="C166" s="16" t="s">
        <v>406</v>
      </c>
      <c r="D166" s="45" t="s">
        <v>407</v>
      </c>
      <c r="E166" s="45"/>
      <c r="F166" s="45"/>
      <c r="G166" s="45"/>
      <c r="H166" s="45"/>
      <c r="I166" s="45"/>
      <c r="J166" s="45"/>
      <c r="K166" s="45"/>
      <c r="L166" s="45"/>
      <c r="M166" s="45"/>
      <c r="N166" s="46"/>
      <c r="O166" s="31"/>
    </row>
    <row r="167" spans="2:15" ht="38.25">
      <c r="B167" s="17">
        <v>98</v>
      </c>
      <c r="C167" s="18" t="s">
        <v>408</v>
      </c>
      <c r="D167" s="19" t="s">
        <v>409</v>
      </c>
      <c r="E167" s="19" t="s">
        <v>410</v>
      </c>
      <c r="F167" s="20">
        <v>0.02</v>
      </c>
      <c r="G167" s="21">
        <v>1</v>
      </c>
      <c r="H167" s="22">
        <f>F167 * G167 * 8294.645851</f>
        <v>165.89291702</v>
      </c>
      <c r="I167" s="22">
        <f>F167 * G167 * 80378.50512</f>
        <v>1607.5701024</v>
      </c>
      <c r="J167" s="22">
        <f>F167 * G167 * 0</f>
        <v>0</v>
      </c>
      <c r="K167" s="22">
        <f>F167 * G167 * 7896.50285</f>
        <v>157.93005700000001</v>
      </c>
      <c r="L167" s="22">
        <f>F167 * G167 * 10363.115506</f>
        <v>207.26231012</v>
      </c>
      <c r="M167" s="22">
        <f>F167 * G167 * 1658.92917</f>
        <v>33.178583400000001</v>
      </c>
      <c r="N167" s="26">
        <f>SUM(H167:M167)</f>
        <v>2171.8339699400003</v>
      </c>
      <c r="O167" s="29">
        <v>3.3135511563834985E-2</v>
      </c>
    </row>
    <row r="168" spans="2:15" s="14" customFormat="1" ht="12.75">
      <c r="B168" s="15"/>
      <c r="C168" s="16" t="s">
        <v>411</v>
      </c>
      <c r="D168" s="45" t="s">
        <v>412</v>
      </c>
      <c r="E168" s="45"/>
      <c r="F168" s="45"/>
      <c r="G168" s="45"/>
      <c r="H168" s="45"/>
      <c r="I168" s="45"/>
      <c r="J168" s="45"/>
      <c r="K168" s="45"/>
      <c r="L168" s="45"/>
      <c r="M168" s="45"/>
      <c r="N168" s="46"/>
      <c r="O168" s="31"/>
    </row>
    <row r="169" spans="2:15">
      <c r="B169" s="17">
        <v>99</v>
      </c>
      <c r="C169" s="18" t="s">
        <v>413</v>
      </c>
      <c r="D169" s="19" t="s">
        <v>414</v>
      </c>
      <c r="E169" s="19" t="s">
        <v>415</v>
      </c>
      <c r="F169" s="20">
        <v>0.04</v>
      </c>
      <c r="G169" s="21">
        <v>1</v>
      </c>
      <c r="H169" s="22">
        <f>F169 * G169 * 7258.542853</f>
        <v>290.34171412000001</v>
      </c>
      <c r="I169" s="22">
        <f>F169 * G169 * 9756.589459</f>
        <v>390.26357836000005</v>
      </c>
      <c r="J169" s="22">
        <f>F169 * G169 * 0</f>
        <v>0</v>
      </c>
      <c r="K169" s="22">
        <f>F169 * G169 * 6910.132796</f>
        <v>276.40531184000002</v>
      </c>
      <c r="L169" s="22">
        <f>F169 * G169 * 2677.270723</f>
        <v>107.09082892000001</v>
      </c>
      <c r="M169" s="22">
        <f>F169 * G169 * 1451.708571</f>
        <v>58.06834284</v>
      </c>
      <c r="N169" s="26">
        <f>SUM(H169:M169)</f>
        <v>1122.16977608</v>
      </c>
      <c r="O169" s="29">
        <v>1.7120861956548272E-2</v>
      </c>
    </row>
    <row r="170" spans="2:15" s="14" customFormat="1" ht="12.75">
      <c r="B170" s="15"/>
      <c r="C170" s="16" t="s">
        <v>416</v>
      </c>
      <c r="D170" s="45" t="s">
        <v>417</v>
      </c>
      <c r="E170" s="45"/>
      <c r="F170" s="45"/>
      <c r="G170" s="45"/>
      <c r="H170" s="45"/>
      <c r="I170" s="45"/>
      <c r="J170" s="45"/>
      <c r="K170" s="45"/>
      <c r="L170" s="45"/>
      <c r="M170" s="45"/>
      <c r="N170" s="46"/>
      <c r="O170" s="31"/>
    </row>
    <row r="171" spans="2:15" ht="38.25">
      <c r="B171" s="17">
        <v>100</v>
      </c>
      <c r="C171" s="18" t="s">
        <v>418</v>
      </c>
      <c r="D171" s="19" t="s">
        <v>419</v>
      </c>
      <c r="E171" s="19" t="s">
        <v>420</v>
      </c>
      <c r="F171" s="20">
        <v>0.04</v>
      </c>
      <c r="G171" s="21">
        <v>1</v>
      </c>
      <c r="H171" s="22">
        <f>F171 * G171 * 29.14335</f>
        <v>1.165734</v>
      </c>
      <c r="I171" s="22">
        <f>F171 * G171 * 4.880202</f>
        <v>0.19520808000000001</v>
      </c>
      <c r="J171" s="22">
        <f>F171 * G171 * 0</f>
        <v>0</v>
      </c>
      <c r="K171" s="22">
        <f>F171 * G171 * 27.74447</f>
        <v>1.1097788</v>
      </c>
      <c r="L171" s="22">
        <f>F171 * G171 * 7.13145</f>
        <v>0.28525800000000001</v>
      </c>
      <c r="M171" s="22">
        <f>F171 * G171 * 5.82867</f>
        <v>0.23314679999999999</v>
      </c>
      <c r="N171" s="26">
        <f>SUM(H171:M171)</f>
        <v>2.9891256799999999</v>
      </c>
      <c r="O171" s="29">
        <v>4.5604871231539121E-5</v>
      </c>
    </row>
    <row r="172" spans="2:15" s="14" customFormat="1" ht="12.75">
      <c r="B172" s="15"/>
      <c r="C172" s="16" t="s">
        <v>421</v>
      </c>
      <c r="D172" s="43" t="s">
        <v>422</v>
      </c>
      <c r="E172" s="43"/>
      <c r="F172" s="43"/>
      <c r="G172" s="43"/>
      <c r="H172" s="43"/>
      <c r="I172" s="43"/>
      <c r="J172" s="43"/>
      <c r="K172" s="43"/>
      <c r="L172" s="43"/>
      <c r="M172" s="43"/>
      <c r="N172" s="44"/>
      <c r="O172" s="28"/>
    </row>
    <row r="173" spans="2:15" s="14" customFormat="1" ht="12.75">
      <c r="B173" s="15"/>
      <c r="C173" s="16" t="s">
        <v>423</v>
      </c>
      <c r="D173" s="45" t="s">
        <v>424</v>
      </c>
      <c r="E173" s="45"/>
      <c r="F173" s="45"/>
      <c r="G173" s="45"/>
      <c r="H173" s="45"/>
      <c r="I173" s="45"/>
      <c r="J173" s="45"/>
      <c r="K173" s="45"/>
      <c r="L173" s="45"/>
      <c r="M173" s="45"/>
      <c r="N173" s="46"/>
      <c r="O173" s="31"/>
    </row>
    <row r="174" spans="2:15" ht="25.5">
      <c r="B174" s="17">
        <v>101</v>
      </c>
      <c r="C174" s="18" t="s">
        <v>425</v>
      </c>
      <c r="D174" s="19" t="s">
        <v>426</v>
      </c>
      <c r="E174" s="19" t="s">
        <v>427</v>
      </c>
      <c r="F174" s="20">
        <v>2</v>
      </c>
      <c r="G174" s="21">
        <v>0.4</v>
      </c>
      <c r="H174" s="22">
        <f>F174 * G174 * 303.493081</f>
        <v>242.79446480000001</v>
      </c>
      <c r="I174" s="22">
        <f>F174 * G174 * 0</f>
        <v>0</v>
      </c>
      <c r="J174" s="22">
        <f t="shared" ref="J174:J179" si="8">F174 * G174 * 0</f>
        <v>0</v>
      </c>
      <c r="K174" s="22">
        <f>F174 * G174 * 288.925413</f>
        <v>231.14033040000001</v>
      </c>
      <c r="L174" s="22">
        <f>F174 * G174 * 68.903856</f>
        <v>55.123084800000008</v>
      </c>
      <c r="M174" s="22">
        <f>F174 * G174 * 60.698616</f>
        <v>48.558892800000002</v>
      </c>
      <c r="N174" s="26">
        <f t="shared" ref="N174:N179" si="9">SUM(H174:M174)</f>
        <v>577.61677280000004</v>
      </c>
      <c r="O174" s="29">
        <v>8.8126567313560351E-3</v>
      </c>
    </row>
    <row r="175" spans="2:15">
      <c r="B175" s="17">
        <v>102</v>
      </c>
      <c r="C175" s="18" t="s">
        <v>428</v>
      </c>
      <c r="D175" s="19" t="s">
        <v>429</v>
      </c>
      <c r="E175" s="19" t="s">
        <v>430</v>
      </c>
      <c r="F175" s="20">
        <v>2</v>
      </c>
      <c r="G175" s="21">
        <v>0.3</v>
      </c>
      <c r="H175" s="22">
        <f>F175 * G175 * 123.926341</f>
        <v>74.355804599999999</v>
      </c>
      <c r="I175" s="22">
        <f>F175 * G175 * 4060.8</f>
        <v>2436.48</v>
      </c>
      <c r="J175" s="22">
        <f t="shared" si="8"/>
        <v>0</v>
      </c>
      <c r="K175" s="22">
        <f>F175 * G175 * 117.977877</f>
        <v>70.786726200000004</v>
      </c>
      <c r="L175" s="22">
        <f>F175 * G175 * 456.55014</f>
        <v>273.93008399999997</v>
      </c>
      <c r="M175" s="22">
        <f>F175 * G175 * 24.785268</f>
        <v>14.871160799999998</v>
      </c>
      <c r="N175" s="26">
        <f t="shared" si="9"/>
        <v>2870.4237755999998</v>
      </c>
      <c r="O175" s="29">
        <v>4.3793844983522512E-2</v>
      </c>
    </row>
    <row r="176" spans="2:15">
      <c r="B176" s="17">
        <v>103</v>
      </c>
      <c r="C176" s="18" t="s">
        <v>431</v>
      </c>
      <c r="D176" s="19" t="s">
        <v>432</v>
      </c>
      <c r="E176" s="19" t="s">
        <v>430</v>
      </c>
      <c r="F176" s="20">
        <v>2</v>
      </c>
      <c r="G176" s="21">
        <v>0.3</v>
      </c>
      <c r="H176" s="22">
        <f>F176 * G176 * 123.926341</f>
        <v>74.355804599999999</v>
      </c>
      <c r="I176" s="22">
        <f>F176 * G176 * 22560</f>
        <v>13536</v>
      </c>
      <c r="J176" s="22">
        <f t="shared" si="8"/>
        <v>0</v>
      </c>
      <c r="K176" s="22">
        <f>F176 * G176 * 117.977877</f>
        <v>70.786726200000004</v>
      </c>
      <c r="L176" s="22">
        <f>F176 * G176 * 2408.21574</f>
        <v>1444.9294440000001</v>
      </c>
      <c r="M176" s="22">
        <f>F176 * G176 * 24.785268</f>
        <v>14.871160799999998</v>
      </c>
      <c r="N176" s="26">
        <f t="shared" si="9"/>
        <v>15140.943135599999</v>
      </c>
      <c r="O176" s="29">
        <v>0.23100425875137309</v>
      </c>
    </row>
    <row r="177" spans="2:15" ht="25.5">
      <c r="B177" s="17">
        <v>104</v>
      </c>
      <c r="C177" s="18" t="s">
        <v>433</v>
      </c>
      <c r="D177" s="19" t="s">
        <v>434</v>
      </c>
      <c r="E177" s="19" t="s">
        <v>435</v>
      </c>
      <c r="F177" s="20">
        <v>4</v>
      </c>
      <c r="G177" s="21">
        <v>1</v>
      </c>
      <c r="H177" s="22">
        <f>F177 * G177 * 212.445157</f>
        <v>849.78062799999998</v>
      </c>
      <c r="I177" s="22">
        <f>F177 * G177 * 0</f>
        <v>0</v>
      </c>
      <c r="J177" s="22">
        <f t="shared" si="8"/>
        <v>0</v>
      </c>
      <c r="K177" s="22">
        <f>F177 * G177 * 202.247789</f>
        <v>808.99115600000005</v>
      </c>
      <c r="L177" s="22">
        <f>F177 * G177 * 48.232699</f>
        <v>192.93079599999999</v>
      </c>
      <c r="M177" s="22">
        <f>F177 * G177 * 42.489031</f>
        <v>169.95612399999999</v>
      </c>
      <c r="N177" s="26">
        <f t="shared" si="9"/>
        <v>2021.6587040000002</v>
      </c>
      <c r="O177" s="29">
        <v>3.0844298547540585E-2</v>
      </c>
    </row>
    <row r="178" spans="2:15" ht="38.25">
      <c r="B178" s="17">
        <v>105</v>
      </c>
      <c r="C178" s="18" t="s">
        <v>436</v>
      </c>
      <c r="D178" s="19" t="s">
        <v>437</v>
      </c>
      <c r="E178" s="19" t="s">
        <v>438</v>
      </c>
      <c r="F178" s="20">
        <v>2</v>
      </c>
      <c r="G178" s="21">
        <v>1</v>
      </c>
      <c r="H178" s="22">
        <f>F178 * G178 * 235.207138</f>
        <v>470.41427599999997</v>
      </c>
      <c r="I178" s="22">
        <f>F178 * G178 * 0</f>
        <v>0</v>
      </c>
      <c r="J178" s="22">
        <f t="shared" si="8"/>
        <v>0</v>
      </c>
      <c r="K178" s="22">
        <f>F178 * G178 * 223.917196</f>
        <v>447.83439199999998</v>
      </c>
      <c r="L178" s="22">
        <f>F178 * G178 * 53.4004879999999</f>
        <v>106.80097599999981</v>
      </c>
      <c r="M178" s="22">
        <f>F178 * G178 * 47.041428</f>
        <v>94.082856000000007</v>
      </c>
      <c r="N178" s="26">
        <f t="shared" si="9"/>
        <v>1119.1324999999997</v>
      </c>
      <c r="O178" s="29">
        <v>1.7074522458196018E-2</v>
      </c>
    </row>
    <row r="179" spans="2:15" ht="25.5">
      <c r="B179" s="17">
        <v>106</v>
      </c>
      <c r="C179" s="18" t="s">
        <v>439</v>
      </c>
      <c r="D179" s="19" t="s">
        <v>440</v>
      </c>
      <c r="E179" s="19" t="s">
        <v>441</v>
      </c>
      <c r="F179" s="20">
        <v>4</v>
      </c>
      <c r="G179" s="21">
        <v>1</v>
      </c>
      <c r="H179" s="22">
        <f>F179 * G179 * 1267.083613</f>
        <v>5068.3344520000001</v>
      </c>
      <c r="I179" s="22">
        <f>F179 * G179 * 0</f>
        <v>0</v>
      </c>
      <c r="J179" s="22">
        <f t="shared" si="8"/>
        <v>0</v>
      </c>
      <c r="K179" s="22">
        <f>F179 * G179 * 1206.26359899999</f>
        <v>4825.0543959999604</v>
      </c>
      <c r="L179" s="22">
        <f>F179 * G179 * 287.673595</f>
        <v>1150.6943799999999</v>
      </c>
      <c r="M179" s="22">
        <f>F179 * G179 * 253.416723</f>
        <v>1013.666892</v>
      </c>
      <c r="N179" s="26">
        <f t="shared" si="9"/>
        <v>12057.750119999959</v>
      </c>
      <c r="O179" s="29">
        <v>0.18396420908092212</v>
      </c>
    </row>
    <row r="180" spans="2:15" s="14" customFormat="1" ht="12.75">
      <c r="B180" s="15"/>
      <c r="C180" s="16" t="s">
        <v>442</v>
      </c>
      <c r="D180" s="45" t="s">
        <v>443</v>
      </c>
      <c r="E180" s="45"/>
      <c r="F180" s="45"/>
      <c r="G180" s="45"/>
      <c r="H180" s="45"/>
      <c r="I180" s="45"/>
      <c r="J180" s="45"/>
      <c r="K180" s="45"/>
      <c r="L180" s="45"/>
      <c r="M180" s="45"/>
      <c r="N180" s="46"/>
      <c r="O180" s="31"/>
    </row>
    <row r="181" spans="2:15">
      <c r="B181" s="17">
        <v>107</v>
      </c>
      <c r="C181" s="18" t="s">
        <v>444</v>
      </c>
      <c r="D181" s="19" t="s">
        <v>445</v>
      </c>
      <c r="E181" s="19" t="s">
        <v>427</v>
      </c>
      <c r="F181" s="20">
        <v>4</v>
      </c>
      <c r="G181" s="21">
        <v>0.1</v>
      </c>
      <c r="H181" s="22">
        <f>F181 * G181 * 1859.605842</f>
        <v>743.8423368</v>
      </c>
      <c r="I181" s="22">
        <f>F181 * G181 * 9566.57928</f>
        <v>3826.6317120000003</v>
      </c>
      <c r="J181" s="22">
        <f>F181 * G181 * 0</f>
        <v>0</v>
      </c>
      <c r="K181" s="22">
        <f>F181 * G181 * 1770.344761</f>
        <v>708.13790440000002</v>
      </c>
      <c r="L181" s="22">
        <f>F181 * G181 * 1431.471586</f>
        <v>572.58863439999993</v>
      </c>
      <c r="M181" s="22">
        <f>F181 * G181 * 371.921168</f>
        <v>148.7684672</v>
      </c>
      <c r="N181" s="26">
        <f>SUM(H181:M181)</f>
        <v>5999.9690548000008</v>
      </c>
      <c r="O181" s="29">
        <v>9.1541087739533747E-2</v>
      </c>
    </row>
    <row r="182" spans="2:15" ht="25.5">
      <c r="B182" s="17">
        <v>108</v>
      </c>
      <c r="C182" s="18" t="s">
        <v>446</v>
      </c>
      <c r="D182" s="19" t="s">
        <v>447</v>
      </c>
      <c r="E182" s="19" t="s">
        <v>448</v>
      </c>
      <c r="F182" s="20">
        <v>0.04</v>
      </c>
      <c r="G182" s="21">
        <v>1</v>
      </c>
      <c r="H182" s="22">
        <f>F182 * G182 * 21248.768653</f>
        <v>849.95074611999996</v>
      </c>
      <c r="I182" s="22">
        <f>F182 * G182 * 316783.75086</f>
        <v>12671.350034399999</v>
      </c>
      <c r="J182" s="22">
        <f>F182 * G182 * 0</f>
        <v>0</v>
      </c>
      <c r="K182" s="22">
        <f>F182 * G182 * 20228.827757</f>
        <v>809.15311027999996</v>
      </c>
      <c r="L182" s="22">
        <f>F182 * G182 * 38244.921156</f>
        <v>1529.7968462399999</v>
      </c>
      <c r="M182" s="22">
        <f>F182 * G182 * 4249.753731</f>
        <v>169.99014923999999</v>
      </c>
      <c r="N182" s="26">
        <f>SUM(H182:M182)</f>
        <v>16030.240886279998</v>
      </c>
      <c r="O182" s="29">
        <v>0.24457220929879164</v>
      </c>
    </row>
    <row r="183" spans="2:15" s="14" customFormat="1" ht="12.75">
      <c r="B183" s="15"/>
      <c r="C183" s="16" t="s">
        <v>449</v>
      </c>
      <c r="D183" s="43" t="s">
        <v>450</v>
      </c>
      <c r="E183" s="43"/>
      <c r="F183" s="43"/>
      <c r="G183" s="43"/>
      <c r="H183" s="43"/>
      <c r="I183" s="43"/>
      <c r="J183" s="43"/>
      <c r="K183" s="43"/>
      <c r="L183" s="43"/>
      <c r="M183" s="43"/>
      <c r="N183" s="44"/>
      <c r="O183" s="28"/>
    </row>
    <row r="184" spans="2:15" s="14" customFormat="1" ht="12.75">
      <c r="B184" s="15"/>
      <c r="C184" s="16" t="s">
        <v>451</v>
      </c>
      <c r="D184" s="45" t="s">
        <v>452</v>
      </c>
      <c r="E184" s="45"/>
      <c r="F184" s="45"/>
      <c r="G184" s="45"/>
      <c r="H184" s="45"/>
      <c r="I184" s="45"/>
      <c r="J184" s="45"/>
      <c r="K184" s="45"/>
      <c r="L184" s="45"/>
      <c r="M184" s="45"/>
      <c r="N184" s="46"/>
      <c r="O184" s="31"/>
    </row>
    <row r="185" spans="2:15" ht="38.25">
      <c r="B185" s="17">
        <v>109</v>
      </c>
      <c r="C185" s="18" t="s">
        <v>453</v>
      </c>
      <c r="D185" s="19" t="s">
        <v>454</v>
      </c>
      <c r="E185" s="19" t="s">
        <v>88</v>
      </c>
      <c r="F185" s="20">
        <v>0.04</v>
      </c>
      <c r="G185" s="21">
        <v>1</v>
      </c>
      <c r="H185" s="22">
        <f>F185 * G185 * 9513.057914</f>
        <v>380.52231656000004</v>
      </c>
      <c r="I185" s="22">
        <f>F185 * G185 * 1758.95491</f>
        <v>70.358196399999997</v>
      </c>
      <c r="J185" s="22">
        <f>F185 * G185 * 0</f>
        <v>0</v>
      </c>
      <c r="K185" s="22">
        <f>F185 * G185 * 9056.431134</f>
        <v>362.25724536000001</v>
      </c>
      <c r="L185" s="22">
        <f>F185 * G185 * 2345.37636</f>
        <v>93.815054400000008</v>
      </c>
      <c r="M185" s="22">
        <f>F185 * G185 * 1902.611583</f>
        <v>76.104463320000008</v>
      </c>
      <c r="N185" s="26">
        <f>SUM(H185:M185)</f>
        <v>983.05727604000015</v>
      </c>
      <c r="O185" s="29">
        <v>1.4998432748077628E-2</v>
      </c>
    </row>
    <row r="186" spans="2:15" s="14" customFormat="1" ht="12.75">
      <c r="B186" s="15"/>
      <c r="C186" s="16" t="s">
        <v>455</v>
      </c>
      <c r="D186" s="43" t="s">
        <v>456</v>
      </c>
      <c r="E186" s="43"/>
      <c r="F186" s="43"/>
      <c r="G186" s="43"/>
      <c r="H186" s="43"/>
      <c r="I186" s="43"/>
      <c r="J186" s="43"/>
      <c r="K186" s="43"/>
      <c r="L186" s="43"/>
      <c r="M186" s="43"/>
      <c r="N186" s="44"/>
      <c r="O186" s="28"/>
    </row>
    <row r="187" spans="2:15">
      <c r="B187" s="17">
        <v>110</v>
      </c>
      <c r="C187" s="18" t="s">
        <v>457</v>
      </c>
      <c r="D187" s="19" t="s">
        <v>458</v>
      </c>
      <c r="E187" s="19" t="s">
        <v>35</v>
      </c>
      <c r="F187" s="20">
        <v>0.02</v>
      </c>
      <c r="G187" s="21">
        <v>1</v>
      </c>
      <c r="H187" s="22">
        <f>F187 * G187 * 73471.939834</f>
        <v>1469.4387966800002</v>
      </c>
      <c r="I187" s="22">
        <f>F187 * G187 * 339400.987651</f>
        <v>6788.0197530199994</v>
      </c>
      <c r="J187" s="22">
        <f>F187 * G187 * 0</f>
        <v>0</v>
      </c>
      <c r="K187" s="22">
        <f>F187 * G187 * 69945.2867219999</f>
        <v>1398.905734439998</v>
      </c>
      <c r="L187" s="22">
        <f>F187 * G187 * 52487.5795289999</f>
        <v>1049.751590579998</v>
      </c>
      <c r="M187" s="22">
        <f>F187 * G187 * 14694.387967</f>
        <v>293.88775934</v>
      </c>
      <c r="N187" s="26">
        <f>SUM(H187:M187)</f>
        <v>11000.003634059993</v>
      </c>
      <c r="O187" s="29">
        <v>0.16782624853625036</v>
      </c>
    </row>
    <row r="188" spans="2:15" s="11" customFormat="1" ht="15">
      <c r="B188" s="12"/>
      <c r="C188" s="13" t="s">
        <v>459</v>
      </c>
      <c r="D188" s="41" t="s">
        <v>460</v>
      </c>
      <c r="E188" s="41"/>
      <c r="F188" s="41"/>
      <c r="G188" s="41"/>
      <c r="H188" s="41"/>
      <c r="I188" s="41"/>
      <c r="J188" s="41"/>
      <c r="K188" s="41"/>
      <c r="L188" s="41"/>
      <c r="M188" s="41"/>
      <c r="N188" s="42"/>
      <c r="O188" s="30"/>
    </row>
    <row r="189" spans="2:15" s="14" customFormat="1" ht="12.75">
      <c r="B189" s="15"/>
      <c r="C189" s="16" t="s">
        <v>461</v>
      </c>
      <c r="D189" s="43" t="s">
        <v>462</v>
      </c>
      <c r="E189" s="43"/>
      <c r="F189" s="43"/>
      <c r="G189" s="43"/>
      <c r="H189" s="43"/>
      <c r="I189" s="43"/>
      <c r="J189" s="43"/>
      <c r="K189" s="43"/>
      <c r="L189" s="43"/>
      <c r="M189" s="43"/>
      <c r="N189" s="44"/>
      <c r="O189" s="28"/>
    </row>
    <row r="190" spans="2:15" ht="38.25">
      <c r="B190" s="17">
        <v>111</v>
      </c>
      <c r="C190" s="18" t="s">
        <v>463</v>
      </c>
      <c r="D190" s="19" t="s">
        <v>464</v>
      </c>
      <c r="E190" s="19" t="s">
        <v>399</v>
      </c>
      <c r="F190" s="20">
        <v>1.4</v>
      </c>
      <c r="G190" s="21">
        <v>0.1</v>
      </c>
      <c r="H190" s="22">
        <f>F190 * G190 * 15959.396123</f>
        <v>2234.3154572199996</v>
      </c>
      <c r="I190" s="22">
        <f>F190 * G190 * 69152.472644</f>
        <v>9681.346170159999</v>
      </c>
      <c r="J190" s="22">
        <f>F190 * G190 * 0</f>
        <v>0</v>
      </c>
      <c r="K190" s="22">
        <f>F190 * G190 * 15193.345109</f>
        <v>2127.06831526</v>
      </c>
      <c r="L190" s="22">
        <f>F190 * G190 * 10918.943323</f>
        <v>1528.6520652199997</v>
      </c>
      <c r="M190" s="22">
        <f>F190 * G190 * 3191.879225</f>
        <v>446.8630915</v>
      </c>
      <c r="N190" s="26">
        <f>SUM(H190:M190)</f>
        <v>16018.245099359998</v>
      </c>
      <c r="O190" s="29">
        <v>0.24438919045770777</v>
      </c>
    </row>
    <row r="191" spans="2:15" ht="38.25">
      <c r="B191" s="17">
        <v>112</v>
      </c>
      <c r="C191" s="18" t="s">
        <v>465</v>
      </c>
      <c r="D191" s="19" t="s">
        <v>466</v>
      </c>
      <c r="E191" s="19" t="s">
        <v>399</v>
      </c>
      <c r="F191" s="20">
        <v>0.9</v>
      </c>
      <c r="G191" s="21">
        <v>0.1</v>
      </c>
      <c r="H191" s="22">
        <f>F191 * G191 * 15959.396123</f>
        <v>1436.3456510700003</v>
      </c>
      <c r="I191" s="22">
        <f>F191 * G191 * 69152.472644</f>
        <v>6223.7225379600004</v>
      </c>
      <c r="J191" s="22">
        <f>F191 * G191 * 0</f>
        <v>0</v>
      </c>
      <c r="K191" s="22">
        <f>F191 * G191 * 15193.345109</f>
        <v>1367.4010598100001</v>
      </c>
      <c r="L191" s="22">
        <f>F191 * G191 * 10918.943323</f>
        <v>982.70489907000012</v>
      </c>
      <c r="M191" s="22">
        <f>F191 * G191 * 3191.879225</f>
        <v>287.26913025000005</v>
      </c>
      <c r="N191" s="26">
        <f>SUM(H191:M191)</f>
        <v>10297.443278160001</v>
      </c>
      <c r="O191" s="29">
        <v>0.15710733672281216</v>
      </c>
    </row>
    <row r="192" spans="2:15" s="14" customFormat="1" ht="12.75">
      <c r="B192" s="15"/>
      <c r="C192" s="16" t="s">
        <v>467</v>
      </c>
      <c r="D192" s="43" t="s">
        <v>468</v>
      </c>
      <c r="E192" s="43"/>
      <c r="F192" s="43"/>
      <c r="G192" s="43"/>
      <c r="H192" s="43"/>
      <c r="I192" s="43"/>
      <c r="J192" s="43"/>
      <c r="K192" s="43"/>
      <c r="L192" s="43"/>
      <c r="M192" s="43"/>
      <c r="N192" s="44"/>
      <c r="O192" s="28"/>
    </row>
    <row r="193" spans="2:15" ht="38.25">
      <c r="B193" s="17">
        <v>113</v>
      </c>
      <c r="C193" s="18" t="s">
        <v>469</v>
      </c>
      <c r="D193" s="19" t="s">
        <v>470</v>
      </c>
      <c r="E193" s="19" t="s">
        <v>399</v>
      </c>
      <c r="F193" s="20">
        <v>0.08</v>
      </c>
      <c r="G193" s="21">
        <v>0.1</v>
      </c>
      <c r="H193" s="22">
        <f>F193 * G193 * 60202.24547</f>
        <v>481.61796376000001</v>
      </c>
      <c r="I193" s="22">
        <f>F193 * G193 * 310457.843239</f>
        <v>2483.662745912</v>
      </c>
      <c r="J193" s="22">
        <f>F193 * G193 * 0</f>
        <v>0</v>
      </c>
      <c r="K193" s="22">
        <f>F193 * G193 * 57312.537688</f>
        <v>458.50030150399999</v>
      </c>
      <c r="L193" s="22">
        <f>F193 * G193 * 46421.3794639999</f>
        <v>371.37103571199998</v>
      </c>
      <c r="M193" s="22">
        <f>F193 * G193 * 12040.449094</f>
        <v>96.323592751999996</v>
      </c>
      <c r="N193" s="26">
        <f>SUM(H193:M193)</f>
        <v>3891.4756396399998</v>
      </c>
      <c r="O193" s="29">
        <v>5.9371958373611616E-2</v>
      </c>
    </row>
    <row r="194" spans="2:15" s="14" customFormat="1" ht="12.75">
      <c r="B194" s="15"/>
      <c r="C194" s="16" t="s">
        <v>471</v>
      </c>
      <c r="D194" s="43" t="s">
        <v>472</v>
      </c>
      <c r="E194" s="43"/>
      <c r="F194" s="43"/>
      <c r="G194" s="43"/>
      <c r="H194" s="43"/>
      <c r="I194" s="43"/>
      <c r="J194" s="43"/>
      <c r="K194" s="43"/>
      <c r="L194" s="43"/>
      <c r="M194" s="43"/>
      <c r="N194" s="44"/>
      <c r="O194" s="28"/>
    </row>
    <row r="195" spans="2:15" s="14" customFormat="1" ht="12.75">
      <c r="B195" s="15"/>
      <c r="C195" s="16" t="s">
        <v>473</v>
      </c>
      <c r="D195" s="45" t="s">
        <v>474</v>
      </c>
      <c r="E195" s="45"/>
      <c r="F195" s="45"/>
      <c r="G195" s="45"/>
      <c r="H195" s="45"/>
      <c r="I195" s="45"/>
      <c r="J195" s="45"/>
      <c r="K195" s="45"/>
      <c r="L195" s="45"/>
      <c r="M195" s="45"/>
      <c r="N195" s="46"/>
      <c r="O195" s="31"/>
    </row>
    <row r="196" spans="2:15" ht="25.5">
      <c r="B196" s="17">
        <v>114</v>
      </c>
      <c r="C196" s="18" t="s">
        <v>475</v>
      </c>
      <c r="D196" s="19" t="s">
        <v>476</v>
      </c>
      <c r="E196" s="19" t="s">
        <v>477</v>
      </c>
      <c r="F196" s="20">
        <v>0.08</v>
      </c>
      <c r="G196" s="21">
        <v>1</v>
      </c>
      <c r="H196" s="22">
        <f>F196 * G196 * 13002.417821</f>
        <v>1040.19342568</v>
      </c>
      <c r="I196" s="22">
        <f>F196 * G196 * 3908.797385</f>
        <v>312.70379079999998</v>
      </c>
      <c r="J196" s="22">
        <f>F196 * G196 * 0</f>
        <v>0</v>
      </c>
      <c r="K196" s="22">
        <f>F196 * G196 * 12378.3017659999</f>
        <v>990.26414127999203</v>
      </c>
      <c r="L196" s="22">
        <f>F196 * G196 * 3364.39505699999</f>
        <v>269.15160455999921</v>
      </c>
      <c r="M196" s="22">
        <f>F196 * G196 * 2600.483564</f>
        <v>208.03868512000003</v>
      </c>
      <c r="N196" s="26">
        <f>SUM(H196:M196)</f>
        <v>2820.3516474399912</v>
      </c>
      <c r="O196" s="29">
        <v>4.3029898197241408E-2</v>
      </c>
    </row>
    <row r="197" spans="2:15" s="14" customFormat="1" ht="12.75">
      <c r="B197" s="15"/>
      <c r="C197" s="16" t="s">
        <v>478</v>
      </c>
      <c r="D197" s="43" t="s">
        <v>479</v>
      </c>
      <c r="E197" s="43"/>
      <c r="F197" s="43"/>
      <c r="G197" s="43"/>
      <c r="H197" s="43"/>
      <c r="I197" s="43"/>
      <c r="J197" s="43"/>
      <c r="K197" s="43"/>
      <c r="L197" s="43"/>
      <c r="M197" s="43"/>
      <c r="N197" s="44"/>
      <c r="O197" s="28"/>
    </row>
    <row r="198" spans="2:15" ht="25.5">
      <c r="B198" s="17">
        <v>115</v>
      </c>
      <c r="C198" s="18" t="s">
        <v>480</v>
      </c>
      <c r="D198" s="19" t="s">
        <v>481</v>
      </c>
      <c r="E198" s="19" t="s">
        <v>337</v>
      </c>
      <c r="F198" s="20">
        <v>1.4</v>
      </c>
      <c r="G198" s="21">
        <v>0.1</v>
      </c>
      <c r="H198" s="22">
        <f>F198 * G198 * 13799.202083</f>
        <v>1931.8882916199998</v>
      </c>
      <c r="I198" s="22">
        <f>F198 * G198 * 41013.712928</f>
        <v>5741.9198099199994</v>
      </c>
      <c r="J198" s="22">
        <f>F198 * G198 * 1.273272</f>
        <v>0.17825807999999999</v>
      </c>
      <c r="K198" s="22">
        <f>F198 * G198 * 13136.8403829999</f>
        <v>1839.1576536199859</v>
      </c>
      <c r="L198" s="22">
        <f>F198 * G198 * 7459.99668799999</f>
        <v>1044.3995363199986</v>
      </c>
      <c r="M198" s="22">
        <f>F198 * G198 * 2759.840417</f>
        <v>386.37765837999996</v>
      </c>
      <c r="N198" s="26">
        <f>SUM(H198:M198)</f>
        <v>10943.921207939984</v>
      </c>
      <c r="O198" s="29">
        <v>0.16697060307488076</v>
      </c>
    </row>
    <row r="199" spans="2:15" s="11" customFormat="1" ht="15">
      <c r="B199" s="12"/>
      <c r="C199" s="13" t="s">
        <v>482</v>
      </c>
      <c r="D199" s="41" t="s">
        <v>483</v>
      </c>
      <c r="E199" s="41"/>
      <c r="F199" s="41"/>
      <c r="G199" s="41"/>
      <c r="H199" s="41"/>
      <c r="I199" s="41"/>
      <c r="J199" s="41"/>
      <c r="K199" s="41"/>
      <c r="L199" s="41"/>
      <c r="M199" s="41"/>
      <c r="N199" s="42"/>
      <c r="O199" s="30"/>
    </row>
    <row r="200" spans="2:15" s="14" customFormat="1" ht="12.75">
      <c r="B200" s="15"/>
      <c r="C200" s="16" t="s">
        <v>484</v>
      </c>
      <c r="D200" s="43" t="s">
        <v>485</v>
      </c>
      <c r="E200" s="43"/>
      <c r="F200" s="43"/>
      <c r="G200" s="43"/>
      <c r="H200" s="43"/>
      <c r="I200" s="43"/>
      <c r="J200" s="43"/>
      <c r="K200" s="43"/>
      <c r="L200" s="43"/>
      <c r="M200" s="43"/>
      <c r="N200" s="44"/>
      <c r="O200" s="28"/>
    </row>
    <row r="201" spans="2:15" ht="25.5">
      <c r="B201" s="17">
        <v>116</v>
      </c>
      <c r="C201" s="18" t="s">
        <v>486</v>
      </c>
      <c r="D201" s="19" t="s">
        <v>487</v>
      </c>
      <c r="E201" s="19" t="s">
        <v>488</v>
      </c>
      <c r="F201" s="20">
        <v>20</v>
      </c>
      <c r="G201" s="21">
        <v>0.1</v>
      </c>
      <c r="H201" s="22">
        <f>F201 * G201 * 98.639032</f>
        <v>197.278064</v>
      </c>
      <c r="I201" s="22">
        <f>F201 * G201 * 322.33728</f>
        <v>644.67456000000004</v>
      </c>
      <c r="J201" s="22">
        <f t="shared" ref="J201:J206" si="10">F201 * G201 * 0</f>
        <v>0</v>
      </c>
      <c r="K201" s="22">
        <f>F201 * G201 * 93.904359</f>
        <v>187.808718</v>
      </c>
      <c r="L201" s="22">
        <f>F201 * G201 * 56.401194</f>
        <v>112.80238799999999</v>
      </c>
      <c r="M201" s="22">
        <f>F201 * G201 * 19.727806</f>
        <v>39.455612000000002</v>
      </c>
      <c r="N201" s="26">
        <f t="shared" ref="N201:N206" si="11">SUM(H201:M201)</f>
        <v>1182.0193420000001</v>
      </c>
      <c r="O201" s="29">
        <v>1.8033982393506651E-2</v>
      </c>
    </row>
    <row r="202" spans="2:15" ht="25.5">
      <c r="B202" s="17">
        <v>117</v>
      </c>
      <c r="C202" s="18" t="s">
        <v>489</v>
      </c>
      <c r="D202" s="19" t="s">
        <v>490</v>
      </c>
      <c r="E202" s="19" t="s">
        <v>491</v>
      </c>
      <c r="F202" s="20">
        <v>20</v>
      </c>
      <c r="G202" s="21">
        <v>0.1</v>
      </c>
      <c r="H202" s="22">
        <f>F202 * G202 * 268.085555</f>
        <v>536.17111</v>
      </c>
      <c r="I202" s="22">
        <f>F202 * G202 * 1978.43304</f>
        <v>3956.8660799999998</v>
      </c>
      <c r="J202" s="22">
        <f t="shared" si="10"/>
        <v>0</v>
      </c>
      <c r="K202" s="22">
        <f>F202 * G202 * 255.217449</f>
        <v>510.43489799999998</v>
      </c>
      <c r="L202" s="22">
        <f>F202 * G202 * 269.589758</f>
        <v>539.17951600000004</v>
      </c>
      <c r="M202" s="22">
        <f>F202 * G202 * 53.617111</f>
        <v>107.234222</v>
      </c>
      <c r="N202" s="26">
        <f t="shared" si="11"/>
        <v>5649.8858260000006</v>
      </c>
      <c r="O202" s="29">
        <v>8.6199893598193592E-2</v>
      </c>
    </row>
    <row r="203" spans="2:15">
      <c r="B203" s="17">
        <v>118</v>
      </c>
      <c r="C203" s="18" t="s">
        <v>492</v>
      </c>
      <c r="D203" s="19" t="s">
        <v>493</v>
      </c>
      <c r="E203" s="19" t="s">
        <v>494</v>
      </c>
      <c r="F203" s="20">
        <v>4</v>
      </c>
      <c r="G203" s="21">
        <v>1</v>
      </c>
      <c r="H203" s="22">
        <f>F203 * G203 * 17.934369</f>
        <v>71.737476000000001</v>
      </c>
      <c r="I203" s="22">
        <f>F203 * G203 * 2572.918368</f>
        <v>10291.673472</v>
      </c>
      <c r="J203" s="22">
        <f t="shared" si="10"/>
        <v>0</v>
      </c>
      <c r="K203" s="22">
        <f>F203 * G203 * 17.0735189999999</f>
        <v>68.294075999999606</v>
      </c>
      <c r="L203" s="22">
        <f>F203 * G203 * 275.514636</f>
        <v>1102.058544</v>
      </c>
      <c r="M203" s="22">
        <f>F203 * G203 * 3.586874</f>
        <v>14.347496</v>
      </c>
      <c r="N203" s="26">
        <f t="shared" si="11"/>
        <v>11548.111064000001</v>
      </c>
      <c r="O203" s="29">
        <v>0.1761886833882583</v>
      </c>
    </row>
    <row r="204" spans="2:15">
      <c r="B204" s="17">
        <v>119</v>
      </c>
      <c r="C204" s="18" t="s">
        <v>495</v>
      </c>
      <c r="D204" s="19" t="s">
        <v>496</v>
      </c>
      <c r="E204" s="19" t="s">
        <v>497</v>
      </c>
      <c r="F204" s="20">
        <v>2</v>
      </c>
      <c r="G204" s="21">
        <v>0.1</v>
      </c>
      <c r="H204" s="22">
        <f>F204 * G204 * 98.639032</f>
        <v>19.727806400000002</v>
      </c>
      <c r="I204" s="22">
        <f>F204 * G204 * 188.21808</f>
        <v>37.643616000000002</v>
      </c>
      <c r="J204" s="22">
        <f t="shared" si="10"/>
        <v>0</v>
      </c>
      <c r="K204" s="22">
        <f>F204 * G204 * 93.904359</f>
        <v>18.7808718</v>
      </c>
      <c r="L204" s="22">
        <f>F204 * G204 * 42.251618</f>
        <v>8.4503236000000008</v>
      </c>
      <c r="M204" s="22">
        <f>F204 * G204 * 19.727806</f>
        <v>3.9455612000000002</v>
      </c>
      <c r="N204" s="26">
        <f t="shared" si="11"/>
        <v>88.548179000000005</v>
      </c>
      <c r="O204" s="29">
        <v>1.3509730715244722E-3</v>
      </c>
    </row>
    <row r="205" spans="2:15">
      <c r="B205" s="17">
        <v>120</v>
      </c>
      <c r="C205" s="18" t="s">
        <v>498</v>
      </c>
      <c r="D205" s="19" t="s">
        <v>499</v>
      </c>
      <c r="E205" s="19" t="s">
        <v>500</v>
      </c>
      <c r="F205" s="20">
        <v>2</v>
      </c>
      <c r="G205" s="21">
        <v>0.1</v>
      </c>
      <c r="H205" s="22">
        <f>F205 * G205 * 768.849138</f>
        <v>153.76982760000001</v>
      </c>
      <c r="I205" s="22">
        <f>F205 * G205 * 16600.468136</f>
        <v>3320.0936271999999</v>
      </c>
      <c r="J205" s="22">
        <f t="shared" si="10"/>
        <v>0</v>
      </c>
      <c r="K205" s="22">
        <f>F205 * G205 * 731.94438</f>
        <v>146.38887600000001</v>
      </c>
      <c r="L205" s="22">
        <f>F205 * G205 * 1925.905821</f>
        <v>385.18116420000001</v>
      </c>
      <c r="M205" s="22">
        <f>F205 * G205 * 153.769828</f>
        <v>30.753965600000001</v>
      </c>
      <c r="N205" s="26">
        <f t="shared" si="11"/>
        <v>4036.1874606000001</v>
      </c>
      <c r="O205" s="29">
        <v>6.1579816010618821E-2</v>
      </c>
    </row>
    <row r="206" spans="2:15">
      <c r="B206" s="17">
        <v>121</v>
      </c>
      <c r="C206" s="18" t="s">
        <v>501</v>
      </c>
      <c r="D206" s="19" t="s">
        <v>502</v>
      </c>
      <c r="E206" s="19" t="s">
        <v>503</v>
      </c>
      <c r="F206" s="20">
        <v>0.2</v>
      </c>
      <c r="G206" s="21">
        <v>0.1</v>
      </c>
      <c r="H206" s="22">
        <f>F206 * G206 * 44835.92352</f>
        <v>896.71847040000011</v>
      </c>
      <c r="I206" s="22">
        <f>F206 * G206 * 118998.613755</f>
        <v>2379.9722751000004</v>
      </c>
      <c r="J206" s="22">
        <f t="shared" si="10"/>
        <v>0</v>
      </c>
      <c r="K206" s="22">
        <f>F206 * G206 * 42683.799191</f>
        <v>853.67598382000017</v>
      </c>
      <c r="L206" s="22">
        <f>F206 * G206 * 22733.722484</f>
        <v>454.67444968000012</v>
      </c>
      <c r="M206" s="22">
        <f>F206 * G206 * 8967.184704</f>
        <v>179.34369408000003</v>
      </c>
      <c r="N206" s="26">
        <f t="shared" si="11"/>
        <v>4764.3848730800009</v>
      </c>
      <c r="O206" s="29">
        <v>7.2689870515684138E-2</v>
      </c>
    </row>
    <row r="207" spans="2:15" s="14" customFormat="1" ht="12.75">
      <c r="B207" s="15"/>
      <c r="C207" s="16" t="s">
        <v>504</v>
      </c>
      <c r="D207" s="43" t="s">
        <v>505</v>
      </c>
      <c r="E207" s="43"/>
      <c r="F207" s="43"/>
      <c r="G207" s="43"/>
      <c r="H207" s="43"/>
      <c r="I207" s="43"/>
      <c r="J207" s="43"/>
      <c r="K207" s="43"/>
      <c r="L207" s="43"/>
      <c r="M207" s="43"/>
      <c r="N207" s="44"/>
      <c r="O207" s="28"/>
    </row>
    <row r="208" spans="2:15">
      <c r="B208" s="17">
        <v>122</v>
      </c>
      <c r="C208" s="18" t="s">
        <v>506</v>
      </c>
      <c r="D208" s="19" t="s">
        <v>507</v>
      </c>
      <c r="E208" s="19" t="s">
        <v>508</v>
      </c>
      <c r="F208" s="20">
        <v>20</v>
      </c>
      <c r="G208" s="21">
        <v>0.2</v>
      </c>
      <c r="H208" s="22">
        <f>F208 * G208 * 306.02219</f>
        <v>1224.0887600000001</v>
      </c>
      <c r="I208" s="22">
        <f>F208 * G208 * 32.878418</f>
        <v>131.51367200000001</v>
      </c>
      <c r="J208" s="22">
        <f>F208 * G208 * 0</f>
        <v>0</v>
      </c>
      <c r="K208" s="22">
        <f>F208 * G208 * 291.333125</f>
        <v>1165.3325</v>
      </c>
      <c r="L208" s="22">
        <f>F208 * G208 * 72.946727</f>
        <v>291.78690799999998</v>
      </c>
      <c r="M208" s="22">
        <f>F208 * G208 * 61.204438</f>
        <v>244.81775200000001</v>
      </c>
      <c r="N208" s="26">
        <f>SUM(H208:M208)</f>
        <v>3057.5395920000001</v>
      </c>
      <c r="O208" s="29">
        <v>4.6648657268399861E-2</v>
      </c>
    </row>
    <row r="209" spans="2:15" s="14" customFormat="1" ht="12.75">
      <c r="B209" s="15"/>
      <c r="C209" s="16" t="s">
        <v>509</v>
      </c>
      <c r="D209" s="43" t="s">
        <v>510</v>
      </c>
      <c r="E209" s="43"/>
      <c r="F209" s="43"/>
      <c r="G209" s="43"/>
      <c r="H209" s="43"/>
      <c r="I209" s="43"/>
      <c r="J209" s="43"/>
      <c r="K209" s="43"/>
      <c r="L209" s="43"/>
      <c r="M209" s="43"/>
      <c r="N209" s="44"/>
      <c r="O209" s="28"/>
    </row>
    <row r="210" spans="2:15" ht="38.25">
      <c r="B210" s="17">
        <v>123</v>
      </c>
      <c r="C210" s="18" t="s">
        <v>511</v>
      </c>
      <c r="D210" s="19" t="s">
        <v>512</v>
      </c>
      <c r="E210" s="19" t="s">
        <v>513</v>
      </c>
      <c r="F210" s="20">
        <v>2</v>
      </c>
      <c r="G210" s="21">
        <v>0.2</v>
      </c>
      <c r="H210" s="22">
        <f>F210 * G210 * 331.785834</f>
        <v>132.7143336</v>
      </c>
      <c r="I210" s="22">
        <f>F210 * G210 * 7754.59392</f>
        <v>3101.8375680000004</v>
      </c>
      <c r="J210" s="22">
        <f>F210 * G210 * 0</f>
        <v>0</v>
      </c>
      <c r="K210" s="22">
        <f>F210 * G210 * 315.860113999999</f>
        <v>126.3440455999996</v>
      </c>
      <c r="L210" s="22">
        <f>F210 * G210 * 893.436987</f>
        <v>357.37479480000002</v>
      </c>
      <c r="M210" s="22">
        <f>F210 * G210 * 66.357167</f>
        <v>26.542866800000002</v>
      </c>
      <c r="N210" s="26">
        <f>SUM(H210:M210)</f>
        <v>3744.8136087999997</v>
      </c>
      <c r="O210" s="29">
        <v>5.7134346527523493E-2</v>
      </c>
    </row>
    <row r="211" spans="2:15" ht="38.25">
      <c r="B211" s="17">
        <v>124</v>
      </c>
      <c r="C211" s="18" t="s">
        <v>514</v>
      </c>
      <c r="D211" s="19" t="s">
        <v>515</v>
      </c>
      <c r="E211" s="19" t="s">
        <v>513</v>
      </c>
      <c r="F211" s="20">
        <v>2</v>
      </c>
      <c r="G211" s="21">
        <v>0.2</v>
      </c>
      <c r="H211" s="22">
        <f>F211 * G211 * 132.265974</f>
        <v>52.906389600000004</v>
      </c>
      <c r="I211" s="22">
        <f>F211 * G211 * 7754.59392</f>
        <v>3101.8375680000004</v>
      </c>
      <c r="J211" s="22">
        <f>F211 * G211 * 0</f>
        <v>0</v>
      </c>
      <c r="K211" s="22">
        <f>F211 * G211 * 125.917206999999</f>
        <v>50.366882799999601</v>
      </c>
      <c r="L211" s="22">
        <f>F211 * G211 * 848.138796</f>
        <v>339.25551840000003</v>
      </c>
      <c r="M211" s="22">
        <f>F211 * G211 * 26.453195</f>
        <v>10.581278000000001</v>
      </c>
      <c r="N211" s="26">
        <f>SUM(H211:M211)</f>
        <v>3554.9476368000001</v>
      </c>
      <c r="O211" s="29">
        <v>5.4237575320395463E-2</v>
      </c>
    </row>
    <row r="212" spans="2:15">
      <c r="B212" s="17">
        <v>125</v>
      </c>
      <c r="C212" s="18" t="s">
        <v>516</v>
      </c>
      <c r="D212" s="19" t="s">
        <v>517</v>
      </c>
      <c r="E212" s="19" t="s">
        <v>518</v>
      </c>
      <c r="F212" s="20">
        <v>0.02</v>
      </c>
      <c r="G212" s="21">
        <v>2</v>
      </c>
      <c r="H212" s="22">
        <f>F212 * G212 * 2690.155411</f>
        <v>107.60621644000001</v>
      </c>
      <c r="I212" s="22">
        <f>F212 * G212 * 0</f>
        <v>0</v>
      </c>
      <c r="J212" s="22">
        <f>F212 * G212 * 0</f>
        <v>0</v>
      </c>
      <c r="K212" s="22">
        <f>F212 * G212 * 2561.027951</f>
        <v>102.44111804000001</v>
      </c>
      <c r="L212" s="22">
        <f>F212 * G212 * 610.762124</f>
        <v>24.430484960000001</v>
      </c>
      <c r="M212" s="22">
        <f>F212 * G212 * 538.031082</f>
        <v>21.52124328</v>
      </c>
      <c r="N212" s="26">
        <f>SUM(H212:M212)</f>
        <v>255.99906272000001</v>
      </c>
      <c r="O212" s="29">
        <v>3.905758921030148E-3</v>
      </c>
    </row>
    <row r="213" spans="2:15" s="14" customFormat="1" ht="12.75">
      <c r="B213" s="15"/>
      <c r="C213" s="16" t="s">
        <v>519</v>
      </c>
      <c r="D213" s="43" t="s">
        <v>520</v>
      </c>
      <c r="E213" s="43"/>
      <c r="F213" s="43"/>
      <c r="G213" s="43"/>
      <c r="H213" s="43"/>
      <c r="I213" s="43"/>
      <c r="J213" s="43"/>
      <c r="K213" s="43"/>
      <c r="L213" s="43"/>
      <c r="M213" s="43"/>
      <c r="N213" s="44"/>
      <c r="O213" s="28"/>
    </row>
    <row r="214" spans="2:15">
      <c r="B214" s="17">
        <v>126</v>
      </c>
      <c r="C214" s="18" t="s">
        <v>521</v>
      </c>
      <c r="D214" s="19" t="s">
        <v>522</v>
      </c>
      <c r="E214" s="19" t="s">
        <v>523</v>
      </c>
      <c r="F214" s="20">
        <v>6</v>
      </c>
      <c r="G214" s="21">
        <v>2</v>
      </c>
      <c r="H214" s="22">
        <f>F214 * G214 * 21.297064</f>
        <v>255.56476799999999</v>
      </c>
      <c r="I214" s="22">
        <f>F214 * G214 * 150.23832</f>
        <v>1802.8598399999998</v>
      </c>
      <c r="J214" s="22">
        <f>F214 * G214 * 0</f>
        <v>0</v>
      </c>
      <c r="K214" s="22">
        <f>F214 * G214 * 20.274805</f>
        <v>243.29766000000001</v>
      </c>
      <c r="L214" s="22">
        <f>F214 * G214 * 20.685343</f>
        <v>248.22411599999998</v>
      </c>
      <c r="M214" s="22">
        <f>F214 * G214 * 4.259413</f>
        <v>51.112956000000004</v>
      </c>
      <c r="N214" s="26">
        <f>SUM(H214:M214)</f>
        <v>2601.0593399999998</v>
      </c>
      <c r="O214" s="29">
        <v>3.9684171548883186E-2</v>
      </c>
    </row>
    <row r="215" spans="2:15" ht="25.5">
      <c r="B215" s="17">
        <v>127</v>
      </c>
      <c r="C215" s="18" t="s">
        <v>524</v>
      </c>
      <c r="D215" s="19" t="s">
        <v>525</v>
      </c>
      <c r="E215" s="19" t="s">
        <v>526</v>
      </c>
      <c r="F215" s="20">
        <v>30</v>
      </c>
      <c r="G215" s="21">
        <v>0.2</v>
      </c>
      <c r="H215" s="22">
        <f>F215 * G215 * 413.003501</f>
        <v>2478.0210059999999</v>
      </c>
      <c r="I215" s="22">
        <f>F215 * G215 * 1328.653084</f>
        <v>7971.9185040000002</v>
      </c>
      <c r="J215" s="22">
        <f>F215 * G215 * 0</f>
        <v>0</v>
      </c>
      <c r="K215" s="22">
        <f>F215 * G215 * 393.179333</f>
        <v>2359.0759979999998</v>
      </c>
      <c r="L215" s="22">
        <f>F215 * G215 * 233.939563</f>
        <v>1403.6373779999999</v>
      </c>
      <c r="M215" s="22">
        <f>F215 * G215 * 82.6007</f>
        <v>495.60419999999999</v>
      </c>
      <c r="N215" s="26">
        <f>SUM(H215:M215)</f>
        <v>14708.257086</v>
      </c>
      <c r="O215" s="29">
        <v>0.22440279943244232</v>
      </c>
    </row>
    <row r="216" spans="2:15" s="11" customFormat="1" ht="15">
      <c r="B216" s="12"/>
      <c r="C216" s="13" t="s">
        <v>527</v>
      </c>
      <c r="D216" s="41" t="s">
        <v>528</v>
      </c>
      <c r="E216" s="41"/>
      <c r="F216" s="41"/>
      <c r="G216" s="41"/>
      <c r="H216" s="41"/>
      <c r="I216" s="41"/>
      <c r="J216" s="41"/>
      <c r="K216" s="41"/>
      <c r="L216" s="41"/>
      <c r="M216" s="41"/>
      <c r="N216" s="42"/>
      <c r="O216" s="30"/>
    </row>
    <row r="217" spans="2:15" s="14" customFormat="1" ht="12.75">
      <c r="B217" s="15"/>
      <c r="C217" s="16" t="s">
        <v>529</v>
      </c>
      <c r="D217" s="43" t="s">
        <v>530</v>
      </c>
      <c r="E217" s="43"/>
      <c r="F217" s="43"/>
      <c r="G217" s="43"/>
      <c r="H217" s="43"/>
      <c r="I217" s="43"/>
      <c r="J217" s="43"/>
      <c r="K217" s="43"/>
      <c r="L217" s="43"/>
      <c r="M217" s="43"/>
      <c r="N217" s="44"/>
      <c r="O217" s="28"/>
    </row>
    <row r="218" spans="2:15">
      <c r="B218" s="17">
        <v>128</v>
      </c>
      <c r="C218" s="18" t="s">
        <v>531</v>
      </c>
      <c r="D218" s="19" t="s">
        <v>532</v>
      </c>
      <c r="E218" s="19" t="s">
        <v>533</v>
      </c>
      <c r="F218" s="20">
        <v>0.1</v>
      </c>
      <c r="G218" s="21">
        <v>1</v>
      </c>
      <c r="H218" s="22">
        <f>F218 * G218 * 4936.582616</f>
        <v>493.6582616</v>
      </c>
      <c r="I218" s="22">
        <f>F218 * G218 * 14336.414138</f>
        <v>1433.6414138</v>
      </c>
      <c r="J218" s="22">
        <f>F218 * G218 * 0</f>
        <v>0</v>
      </c>
      <c r="K218" s="22">
        <f>F218 * G218 * 4699.62665</f>
        <v>469.96266500000002</v>
      </c>
      <c r="L218" s="22">
        <f>F218 * G218 * 2633.273663</f>
        <v>263.32736629999999</v>
      </c>
      <c r="M218" s="22">
        <f>F218 * G218 * 987.316523</f>
        <v>98.731652300000007</v>
      </c>
      <c r="N218" s="26">
        <f>SUM(H218:M218)</f>
        <v>2759.321359</v>
      </c>
      <c r="O218" s="29">
        <v>4.2098763563407783E-2</v>
      </c>
    </row>
    <row r="219" spans="2:15" ht="25.5">
      <c r="B219" s="17">
        <v>129</v>
      </c>
      <c r="C219" s="18" t="s">
        <v>534</v>
      </c>
      <c r="D219" s="19" t="s">
        <v>535</v>
      </c>
      <c r="E219" s="19" t="s">
        <v>536</v>
      </c>
      <c r="F219" s="20">
        <v>6.548</v>
      </c>
      <c r="G219" s="21">
        <v>0.1</v>
      </c>
      <c r="H219" s="22">
        <f>F219 * G219 * 5209.964556</f>
        <v>3411.4847912688001</v>
      </c>
      <c r="I219" s="22">
        <f>F219 * G219 * 8187.30204</f>
        <v>5361.0453757920004</v>
      </c>
      <c r="J219" s="22">
        <f>F219 * G219 * 0</f>
        <v>0</v>
      </c>
      <c r="K219" s="22">
        <f>F219 * G219 * 4959.886257</f>
        <v>3247.7335210836004</v>
      </c>
      <c r="L219" s="22">
        <f>F219 * G219 * 2046.609878</f>
        <v>1340.1201481144001</v>
      </c>
      <c r="M219" s="22">
        <f>F219 * G219 * 1041.992911</f>
        <v>682.29695812280011</v>
      </c>
      <c r="N219" s="26">
        <f>SUM(H219:M219)</f>
        <v>14042.680794381602</v>
      </c>
      <c r="O219" s="29">
        <v>0.21424815077477119</v>
      </c>
    </row>
    <row r="220" spans="2:15" s="14" customFormat="1" ht="12.75">
      <c r="B220" s="15"/>
      <c r="C220" s="16" t="s">
        <v>537</v>
      </c>
      <c r="D220" s="43" t="s">
        <v>538</v>
      </c>
      <c r="E220" s="43"/>
      <c r="F220" s="43"/>
      <c r="G220" s="43"/>
      <c r="H220" s="43"/>
      <c r="I220" s="43"/>
      <c r="J220" s="43"/>
      <c r="K220" s="43"/>
      <c r="L220" s="43"/>
      <c r="M220" s="43"/>
      <c r="N220" s="44"/>
      <c r="O220" s="28"/>
    </row>
    <row r="221" spans="2:15" ht="25.5">
      <c r="B221" s="17">
        <v>130</v>
      </c>
      <c r="C221" s="18" t="s">
        <v>539</v>
      </c>
      <c r="D221" s="19" t="s">
        <v>540</v>
      </c>
      <c r="E221" s="19" t="s">
        <v>541</v>
      </c>
      <c r="F221" s="20">
        <v>2</v>
      </c>
      <c r="G221" s="21">
        <v>1</v>
      </c>
      <c r="H221" s="22">
        <f>F221 * G221 * 343.499503</f>
        <v>686.99900600000001</v>
      </c>
      <c r="I221" s="22">
        <f>F221 * G221 * 108.02292</f>
        <v>216.04584</v>
      </c>
      <c r="J221" s="22">
        <f>F221 * G221 * 0</f>
        <v>0</v>
      </c>
      <c r="K221" s="22">
        <f>F221 * G221 * 327.011527</f>
        <v>654.023054</v>
      </c>
      <c r="L221" s="22">
        <f>F221 * G221 * 89.383171</f>
        <v>178.76634200000001</v>
      </c>
      <c r="M221" s="22">
        <f>F221 * G221 * 68.699901</f>
        <v>137.39980199999999</v>
      </c>
      <c r="N221" s="26">
        <f>SUM(H221:M221)</f>
        <v>1873.2340439999998</v>
      </c>
      <c r="O221" s="29">
        <v>2.8579794397656535E-2</v>
      </c>
    </row>
    <row r="222" spans="2:15" s="14" customFormat="1" ht="12.75">
      <c r="B222" s="15"/>
      <c r="C222" s="16" t="s">
        <v>542</v>
      </c>
      <c r="D222" s="43" t="s">
        <v>543</v>
      </c>
      <c r="E222" s="43"/>
      <c r="F222" s="43"/>
      <c r="G222" s="43"/>
      <c r="H222" s="43"/>
      <c r="I222" s="43"/>
      <c r="J222" s="43"/>
      <c r="K222" s="43"/>
      <c r="L222" s="43"/>
      <c r="M222" s="43"/>
      <c r="N222" s="44"/>
      <c r="O222" s="28"/>
    </row>
    <row r="223" spans="2:15" ht="25.5">
      <c r="B223" s="17">
        <v>131</v>
      </c>
      <c r="C223" s="18" t="s">
        <v>544</v>
      </c>
      <c r="D223" s="19" t="s">
        <v>545</v>
      </c>
      <c r="E223" s="19" t="s">
        <v>546</v>
      </c>
      <c r="F223" s="20">
        <v>2.96</v>
      </c>
      <c r="G223" s="21">
        <v>2</v>
      </c>
      <c r="H223" s="22">
        <f>F223 * G223 * 15174.654048</f>
        <v>89833.951964160005</v>
      </c>
      <c r="I223" s="22">
        <f>F223 * G223 * 0</f>
        <v>0</v>
      </c>
      <c r="J223" s="22">
        <f>F223 * G223 * 0</f>
        <v>0</v>
      </c>
      <c r="K223" s="22">
        <f>F223 * G223 * 14446.270653</f>
        <v>85521.922265759989</v>
      </c>
      <c r="L223" s="22">
        <f>F223 * G223 * 3445.192757</f>
        <v>20395.541121439997</v>
      </c>
      <c r="M223" s="22">
        <f>F223 * G223 * 3034.93081</f>
        <v>17966.790395199998</v>
      </c>
      <c r="N223" s="26">
        <f>SUM(H223:M223)</f>
        <v>213718.20574655998</v>
      </c>
      <c r="O223" s="29">
        <v>3.2606829877114607</v>
      </c>
    </row>
    <row r="224" spans="2:15" ht="38.25">
      <c r="B224" s="17">
        <v>132</v>
      </c>
      <c r="C224" s="18" t="s">
        <v>547</v>
      </c>
      <c r="D224" s="19" t="s">
        <v>548</v>
      </c>
      <c r="E224" s="19" t="s">
        <v>549</v>
      </c>
      <c r="F224" s="20">
        <v>0.4</v>
      </c>
      <c r="G224" s="21">
        <v>1</v>
      </c>
      <c r="H224" s="22">
        <f>F224 * G224 * 7941.458992</f>
        <v>3176.5835968000001</v>
      </c>
      <c r="I224" s="22">
        <f>F224 * G224 * 1527.211044</f>
        <v>610.88441760000001</v>
      </c>
      <c r="J224" s="22">
        <f>F224 * G224 * 0</f>
        <v>0</v>
      </c>
      <c r="K224" s="22">
        <f>F224 * G224 * 7560.268961</f>
        <v>3024.1075844000002</v>
      </c>
      <c r="L224" s="22">
        <f>F224 * G224 * 1964.117849</f>
        <v>785.64713960000006</v>
      </c>
      <c r="M224" s="22">
        <f>F224 * G224 * 1588.291798</f>
        <v>635.31671920000008</v>
      </c>
      <c r="N224" s="26">
        <f>SUM(H224:M224)</f>
        <v>8232.5394575999999</v>
      </c>
      <c r="O224" s="29">
        <v>0.12560325060417429</v>
      </c>
    </row>
    <row r="225" spans="2:15" ht="25.5">
      <c r="B225" s="17">
        <v>133</v>
      </c>
      <c r="C225" s="18" t="s">
        <v>550</v>
      </c>
      <c r="D225" s="19" t="s">
        <v>551</v>
      </c>
      <c r="E225" s="19" t="s">
        <v>536</v>
      </c>
      <c r="F225" s="20">
        <v>6.548</v>
      </c>
      <c r="G225" s="21">
        <v>2</v>
      </c>
      <c r="H225" s="22">
        <f>F225 * G225 * 941.554394</f>
        <v>12330.596343824</v>
      </c>
      <c r="I225" s="22">
        <f>F225 * G225 * 0</f>
        <v>0</v>
      </c>
      <c r="J225" s="22">
        <f>F225 * G225 * 0</f>
        <v>0</v>
      </c>
      <c r="K225" s="22">
        <f>F225 * G225 * 896.359783</f>
        <v>11738.727718168</v>
      </c>
      <c r="L225" s="22">
        <f>F225 * G225 * 213.766743</f>
        <v>2799.4892663279998</v>
      </c>
      <c r="M225" s="22">
        <f>F225 * G225 * 188.310879</f>
        <v>2466.1192713840001</v>
      </c>
      <c r="N225" s="26">
        <f>SUM(H225:M225)</f>
        <v>29334.932599704</v>
      </c>
      <c r="O225" s="29">
        <v>0.44756091480080556</v>
      </c>
    </row>
    <row r="226" spans="2:15" s="14" customFormat="1" ht="12.75">
      <c r="B226" s="15"/>
      <c r="C226" s="16" t="s">
        <v>552</v>
      </c>
      <c r="D226" s="43" t="s">
        <v>553</v>
      </c>
      <c r="E226" s="43"/>
      <c r="F226" s="43"/>
      <c r="G226" s="43"/>
      <c r="H226" s="43"/>
      <c r="I226" s="43"/>
      <c r="J226" s="43"/>
      <c r="K226" s="43"/>
      <c r="L226" s="43"/>
      <c r="M226" s="43"/>
      <c r="N226" s="44"/>
      <c r="O226" s="28"/>
    </row>
    <row r="227" spans="2:15" ht="25.5">
      <c r="B227" s="17">
        <v>134</v>
      </c>
      <c r="C227" s="18" t="s">
        <v>554</v>
      </c>
      <c r="D227" s="19" t="s">
        <v>555</v>
      </c>
      <c r="E227" s="19" t="s">
        <v>536</v>
      </c>
      <c r="F227" s="20"/>
      <c r="G227" s="21">
        <v>3</v>
      </c>
      <c r="H227" s="22">
        <f>F227 * G227 * 941.554394</f>
        <v>0</v>
      </c>
      <c r="I227" s="22">
        <f>F227 * G227 * 0</f>
        <v>0</v>
      </c>
      <c r="J227" s="22">
        <f>F227 * G227 * 0</f>
        <v>0</v>
      </c>
      <c r="K227" s="22">
        <f>F227 * G227 * 896.359783</f>
        <v>0</v>
      </c>
      <c r="L227" s="22">
        <f>F227 * G227 * 213.766743</f>
        <v>0</v>
      </c>
      <c r="M227" s="22">
        <f>F227 * G227 * 188.310879</f>
        <v>0</v>
      </c>
      <c r="N227" s="26">
        <f>SUM(H227:M227)</f>
        <v>0</v>
      </c>
      <c r="O227" s="29">
        <v>0</v>
      </c>
    </row>
    <row r="228" spans="2:15" ht="25.5">
      <c r="B228" s="17">
        <v>135</v>
      </c>
      <c r="C228" s="18" t="s">
        <v>556</v>
      </c>
      <c r="D228" s="19" t="s">
        <v>557</v>
      </c>
      <c r="E228" s="19" t="s">
        <v>536</v>
      </c>
      <c r="F228" s="20">
        <v>6.548</v>
      </c>
      <c r="G228" s="21">
        <v>2</v>
      </c>
      <c r="H228" s="22">
        <f>F228 * G228 * 941.554394</f>
        <v>12330.596343824</v>
      </c>
      <c r="I228" s="22">
        <f>F228 * G228 * 0</f>
        <v>0</v>
      </c>
      <c r="J228" s="22">
        <f>F228 * G228 * 0</f>
        <v>0</v>
      </c>
      <c r="K228" s="22">
        <f>F228 * G228 * 896.359783</f>
        <v>11738.727718168</v>
      </c>
      <c r="L228" s="22">
        <f>F228 * G228 * 213.766743</f>
        <v>2799.4892663279998</v>
      </c>
      <c r="M228" s="22">
        <f>F228 * G228 * 188.310879</f>
        <v>2466.1192713840001</v>
      </c>
      <c r="N228" s="26">
        <f>SUM(H228:M228)</f>
        <v>29334.932599704</v>
      </c>
      <c r="O228" s="29">
        <v>0.44756091480080556</v>
      </c>
    </row>
    <row r="229" spans="2:15" s="14" customFormat="1" ht="12.75">
      <c r="B229" s="15"/>
      <c r="C229" s="16" t="s">
        <v>558</v>
      </c>
      <c r="D229" s="43" t="s">
        <v>559</v>
      </c>
      <c r="E229" s="43"/>
      <c r="F229" s="43"/>
      <c r="G229" s="43"/>
      <c r="H229" s="43"/>
      <c r="I229" s="43"/>
      <c r="J229" s="43"/>
      <c r="K229" s="43"/>
      <c r="L229" s="43"/>
      <c r="M229" s="43"/>
      <c r="N229" s="44"/>
      <c r="O229" s="28"/>
    </row>
    <row r="230" spans="2:15" ht="25.5">
      <c r="B230" s="17">
        <v>136</v>
      </c>
      <c r="C230" s="18" t="s">
        <v>560</v>
      </c>
      <c r="D230" s="19" t="s">
        <v>561</v>
      </c>
      <c r="E230" s="19" t="s">
        <v>562</v>
      </c>
      <c r="F230" s="20">
        <v>0.3</v>
      </c>
      <c r="G230" s="21">
        <v>2</v>
      </c>
      <c r="H230" s="22">
        <f>F230 * G230 * 2276.198107</f>
        <v>1365.7188642000001</v>
      </c>
      <c r="I230" s="22">
        <f>F230 * G230 * 0</f>
        <v>0</v>
      </c>
      <c r="J230" s="22">
        <f>F230 * G230 * 0</f>
        <v>0</v>
      </c>
      <c r="K230" s="22">
        <f>F230 * G230 * 2166.940598</f>
        <v>1300.1643587999999</v>
      </c>
      <c r="L230" s="22">
        <f>F230 * G230 * 516.778914</f>
        <v>310.06734839999996</v>
      </c>
      <c r="M230" s="22">
        <f>F230 * G230 * 455.239621</f>
        <v>273.14377259999998</v>
      </c>
      <c r="N230" s="26">
        <f>SUM(H230:M230)</f>
        <v>3249.0943439999996</v>
      </c>
      <c r="O230" s="29">
        <v>4.9571194068106915E-2</v>
      </c>
    </row>
    <row r="231" spans="2:15">
      <c r="B231" s="17">
        <v>137</v>
      </c>
      <c r="C231" s="18" t="s">
        <v>563</v>
      </c>
      <c r="D231" s="19" t="s">
        <v>564</v>
      </c>
      <c r="E231" s="19" t="s">
        <v>311</v>
      </c>
      <c r="F231" s="20">
        <v>2</v>
      </c>
      <c r="G231" s="21">
        <v>1</v>
      </c>
      <c r="H231" s="22">
        <f>F231 * G231 * 1120.898088</f>
        <v>2241.7961759999998</v>
      </c>
      <c r="I231" s="22">
        <f>F231 * G231 * 1205.827488</f>
        <v>2411.6549759999998</v>
      </c>
      <c r="J231" s="22">
        <f>F231 * G231 * 0</f>
        <v>0</v>
      </c>
      <c r="K231" s="22">
        <f>F231 * G231 * 1067.09497999999</f>
        <v>2134.1899599999801</v>
      </c>
      <c r="L231" s="22">
        <f>F231 * G231 * 381.699018</f>
        <v>763.39803600000005</v>
      </c>
      <c r="M231" s="22">
        <f>F231 * G231 * 224.179618</f>
        <v>448.35923600000001</v>
      </c>
      <c r="N231" s="26">
        <f>SUM(H231:M231)</f>
        <v>7999.3983839999801</v>
      </c>
      <c r="O231" s="29">
        <v>0.12204623434639296</v>
      </c>
    </row>
    <row r="232" spans="2:15">
      <c r="B232" s="17">
        <v>138</v>
      </c>
      <c r="C232" s="18" t="s">
        <v>565</v>
      </c>
      <c r="D232" s="19" t="s">
        <v>566</v>
      </c>
      <c r="E232" s="19" t="s">
        <v>567</v>
      </c>
      <c r="F232" s="20">
        <v>6</v>
      </c>
      <c r="G232" s="21">
        <v>1</v>
      </c>
      <c r="H232" s="22">
        <f>F232 * G232 * 64.070761</f>
        <v>384.42456600000003</v>
      </c>
      <c r="I232" s="22">
        <f>F232 * G232 * 0</f>
        <v>0</v>
      </c>
      <c r="J232" s="22">
        <f>F232 * G232 * 0</f>
        <v>0</v>
      </c>
      <c r="K232" s="22">
        <f>F232 * G232 * 60.995365</f>
        <v>365.97219000000001</v>
      </c>
      <c r="L232" s="22">
        <f>F232 * G232 * 14.546369</f>
        <v>87.278214000000006</v>
      </c>
      <c r="M232" s="22">
        <f>F232 * G232 * 12.814152</f>
        <v>76.884912</v>
      </c>
      <c r="N232" s="26">
        <f>SUM(H232:M232)</f>
        <v>914.55988200000013</v>
      </c>
      <c r="O232" s="29">
        <v>1.3953373031856465E-2</v>
      </c>
    </row>
    <row r="233" spans="2:15" s="14" customFormat="1" ht="12.75">
      <c r="B233" s="15"/>
      <c r="C233" s="16" t="s">
        <v>568</v>
      </c>
      <c r="D233" s="43" t="s">
        <v>569</v>
      </c>
      <c r="E233" s="43"/>
      <c r="F233" s="43"/>
      <c r="G233" s="43"/>
      <c r="H233" s="43"/>
      <c r="I233" s="43"/>
      <c r="J233" s="43"/>
      <c r="K233" s="43"/>
      <c r="L233" s="43"/>
      <c r="M233" s="43"/>
      <c r="N233" s="44"/>
      <c r="O233" s="28"/>
    </row>
    <row r="234" spans="2:15" s="14" customFormat="1" ht="12.75">
      <c r="B234" s="15"/>
      <c r="C234" s="16" t="s">
        <v>570</v>
      </c>
      <c r="D234" s="45" t="s">
        <v>571</v>
      </c>
      <c r="E234" s="45"/>
      <c r="F234" s="45"/>
      <c r="G234" s="45"/>
      <c r="H234" s="45"/>
      <c r="I234" s="45"/>
      <c r="J234" s="45"/>
      <c r="K234" s="45"/>
      <c r="L234" s="45"/>
      <c r="M234" s="45"/>
      <c r="N234" s="46"/>
      <c r="O234" s="31"/>
    </row>
    <row r="235" spans="2:15" ht="25.5">
      <c r="B235" s="17">
        <v>139</v>
      </c>
      <c r="C235" s="18" t="s">
        <v>572</v>
      </c>
      <c r="D235" s="19" t="s">
        <v>573</v>
      </c>
      <c r="E235" s="19" t="s">
        <v>536</v>
      </c>
      <c r="F235" s="20">
        <v>0.98699999999999999</v>
      </c>
      <c r="G235" s="21">
        <v>1</v>
      </c>
      <c r="H235" s="22">
        <f>F235 * G235 * 2529.109008</f>
        <v>2496.2305908959997</v>
      </c>
      <c r="I235" s="22">
        <f>F235 * G235 * 0</f>
        <v>0</v>
      </c>
      <c r="J235" s="22">
        <f>F235 * G235 * 0</f>
        <v>0</v>
      </c>
      <c r="K235" s="22">
        <f>F235 * G235 * 2407.711775</f>
        <v>2376.4115219250002</v>
      </c>
      <c r="L235" s="22">
        <f>F235 * G235 * 574.198793</f>
        <v>566.73420869100005</v>
      </c>
      <c r="M235" s="22">
        <f>F235 * G235 * 505.821802</f>
        <v>499.24611857399998</v>
      </c>
      <c r="N235" s="26">
        <f>SUM(H235:M235)</f>
        <v>5938.622440086001</v>
      </c>
      <c r="O235" s="29">
        <v>9.0605126938941793E-2</v>
      </c>
    </row>
    <row r="236" spans="2:15" ht="38.25">
      <c r="B236" s="17">
        <v>140</v>
      </c>
      <c r="C236" s="18" t="s">
        <v>574</v>
      </c>
      <c r="D236" s="19" t="s">
        <v>575</v>
      </c>
      <c r="E236" s="19" t="s">
        <v>576</v>
      </c>
      <c r="F236" s="20">
        <v>1.6800000000000002</v>
      </c>
      <c r="G236" s="21">
        <v>1</v>
      </c>
      <c r="H236" s="22">
        <f>F236 * G236 * 1011.643603</f>
        <v>1699.5612530400001</v>
      </c>
      <c r="I236" s="22">
        <f>F236 * G236 * 0</f>
        <v>0</v>
      </c>
      <c r="J236" s="22">
        <f>F236 * G236 * 0</f>
        <v>0</v>
      </c>
      <c r="K236" s="22">
        <f>F236 * G236 * 963.08471</f>
        <v>1617.9823128</v>
      </c>
      <c r="L236" s="22">
        <f>F236 * G236 * 229.679517</f>
        <v>385.86158856000003</v>
      </c>
      <c r="M236" s="22">
        <f>F236 * G236 * 202.328721</f>
        <v>339.91225128000002</v>
      </c>
      <c r="N236" s="26">
        <f>SUM(H236:M236)</f>
        <v>4043.3174056800003</v>
      </c>
      <c r="O236" s="29">
        <v>6.1688597059685102E-2</v>
      </c>
    </row>
    <row r="237" spans="2:15">
      <c r="B237" s="17">
        <v>141</v>
      </c>
      <c r="C237" s="18" t="s">
        <v>577</v>
      </c>
      <c r="D237" s="19" t="s">
        <v>578</v>
      </c>
      <c r="E237" s="19" t="s">
        <v>579</v>
      </c>
      <c r="F237" s="20">
        <v>2</v>
      </c>
      <c r="G237" s="21">
        <v>1</v>
      </c>
      <c r="H237" s="22">
        <f>F237 * G237 * 896.71847</f>
        <v>1793.43694</v>
      </c>
      <c r="I237" s="22">
        <f>F237 * G237 * 0</f>
        <v>0</v>
      </c>
      <c r="J237" s="22">
        <f>F237 * G237 * 0</f>
        <v>0</v>
      </c>
      <c r="K237" s="22">
        <f>F237 * G237 * 853.675984</f>
        <v>1707.3519679999999</v>
      </c>
      <c r="L237" s="22">
        <f>F237 * G237 * 203.587375</f>
        <v>407.17475000000002</v>
      </c>
      <c r="M237" s="22">
        <f>F237 * G237 * 179.343694</f>
        <v>358.687388</v>
      </c>
      <c r="N237" s="26">
        <f>SUM(H237:M237)</f>
        <v>4266.651046</v>
      </c>
      <c r="O237" s="29">
        <v>6.5095982027340418E-2</v>
      </c>
    </row>
    <row r="238" spans="2:15" s="14" customFormat="1" ht="12.75">
      <c r="B238" s="15"/>
      <c r="C238" s="16" t="s">
        <v>580</v>
      </c>
      <c r="D238" s="45" t="s">
        <v>581</v>
      </c>
      <c r="E238" s="45"/>
      <c r="F238" s="45"/>
      <c r="G238" s="45"/>
      <c r="H238" s="45"/>
      <c r="I238" s="45"/>
      <c r="J238" s="45"/>
      <c r="K238" s="45"/>
      <c r="L238" s="45"/>
      <c r="M238" s="45"/>
      <c r="N238" s="46"/>
      <c r="O238" s="31"/>
    </row>
    <row r="239" spans="2:15" ht="25.5">
      <c r="B239" s="17">
        <v>142</v>
      </c>
      <c r="C239" s="18" t="s">
        <v>582</v>
      </c>
      <c r="D239" s="19" t="s">
        <v>583</v>
      </c>
      <c r="E239" s="19" t="s">
        <v>337</v>
      </c>
      <c r="F239" s="20">
        <v>2.8</v>
      </c>
      <c r="G239" s="21">
        <v>1</v>
      </c>
      <c r="H239" s="22">
        <f>F239 * G239 * 880.982422</f>
        <v>2466.7507815999998</v>
      </c>
      <c r="I239" s="22">
        <f>F239 * G239 * 11.135178</f>
        <v>31.178498399999999</v>
      </c>
      <c r="J239" s="22">
        <f>F239 * G239 * 0</f>
        <v>0</v>
      </c>
      <c r="K239" s="22">
        <f>F239 * G239 * 838.695265</f>
        <v>2348.3467419999997</v>
      </c>
      <c r="L239" s="22">
        <f>F239 * G239 * 201.189486999999</f>
        <v>563.33056359999716</v>
      </c>
      <c r="M239" s="22">
        <f>F239 * G239 * 176.196484</f>
        <v>493.35015519999996</v>
      </c>
      <c r="N239" s="26">
        <f>SUM(H239:M239)</f>
        <v>5902.9567407999966</v>
      </c>
      <c r="O239" s="29">
        <v>9.0060977981203424E-2</v>
      </c>
    </row>
    <row r="240" spans="2:15" ht="25.5">
      <c r="B240" s="17">
        <v>143</v>
      </c>
      <c r="C240" s="18" t="s">
        <v>584</v>
      </c>
      <c r="D240" s="19" t="s">
        <v>585</v>
      </c>
      <c r="E240" s="19" t="s">
        <v>337</v>
      </c>
      <c r="F240" s="20">
        <v>4.5999999999999996</v>
      </c>
      <c r="G240" s="21">
        <v>1</v>
      </c>
      <c r="H240" s="22">
        <f>F240 * G240 * 26.901554</f>
        <v>123.7471484</v>
      </c>
      <c r="I240" s="22">
        <f>F240 * G240 * 0</f>
        <v>0</v>
      </c>
      <c r="J240" s="22">
        <f>F240 * G240 * 0</f>
        <v>0</v>
      </c>
      <c r="K240" s="22">
        <f>F240 * G240 * 25.610279</f>
        <v>117.80728339999999</v>
      </c>
      <c r="L240" s="22">
        <f>F240 * G240 * 6.107621</f>
        <v>28.095056599999996</v>
      </c>
      <c r="M240" s="22">
        <f>F240 * G240 * 5.380311</f>
        <v>24.749430599999997</v>
      </c>
      <c r="N240" s="26">
        <f>SUM(H240:M240)</f>
        <v>294.39891899999998</v>
      </c>
      <c r="O240" s="29">
        <v>4.4916227114610028E-3</v>
      </c>
    </row>
    <row r="241" spans="2:15" s="14" customFormat="1" ht="12.75">
      <c r="B241" s="15"/>
      <c r="C241" s="16" t="s">
        <v>586</v>
      </c>
      <c r="D241" s="45" t="s">
        <v>587</v>
      </c>
      <c r="E241" s="45"/>
      <c r="F241" s="45"/>
      <c r="G241" s="45"/>
      <c r="H241" s="45"/>
      <c r="I241" s="45"/>
      <c r="J241" s="45"/>
      <c r="K241" s="45"/>
      <c r="L241" s="45"/>
      <c r="M241" s="45"/>
      <c r="N241" s="46"/>
      <c r="O241" s="31"/>
    </row>
    <row r="242" spans="2:15" ht="25.5">
      <c r="B242" s="17">
        <v>144</v>
      </c>
      <c r="C242" s="18" t="s">
        <v>588</v>
      </c>
      <c r="D242" s="19" t="s">
        <v>589</v>
      </c>
      <c r="E242" s="19" t="s">
        <v>590</v>
      </c>
      <c r="F242" s="20">
        <v>248.86</v>
      </c>
      <c r="G242" s="21">
        <v>0.2</v>
      </c>
      <c r="H242" s="22">
        <f>F242 * G242 * 207.534376</f>
        <v>10329.400962272002</v>
      </c>
      <c r="I242" s="22">
        <f>F242 * G242 * 2.102378</f>
        <v>104.63955781600001</v>
      </c>
      <c r="J242" s="22">
        <f>F242 * G242 * 0</f>
        <v>0</v>
      </c>
      <c r="K242" s="22">
        <f>F242 * G242 * 197.572726</f>
        <v>9833.5897184719997</v>
      </c>
      <c r="L242" s="22">
        <f>F242 * G242 * 47.3395759999999</f>
        <v>2356.1853766719955</v>
      </c>
      <c r="M242" s="22">
        <f>F242 * G242 * 41.506875</f>
        <v>2065.8801825</v>
      </c>
      <c r="N242" s="26">
        <f>SUM(H242:M242)</f>
        <v>24689.695797731998</v>
      </c>
      <c r="O242" s="29">
        <v>0.37668887766587328</v>
      </c>
    </row>
    <row r="243" spans="2:15" s="14" customFormat="1" ht="12.75">
      <c r="B243" s="15"/>
      <c r="C243" s="16" t="s">
        <v>591</v>
      </c>
      <c r="D243" s="45" t="s">
        <v>592</v>
      </c>
      <c r="E243" s="45"/>
      <c r="F243" s="45"/>
      <c r="G243" s="45"/>
      <c r="H243" s="45"/>
      <c r="I243" s="45"/>
      <c r="J243" s="45"/>
      <c r="K243" s="45"/>
      <c r="L243" s="45"/>
      <c r="M243" s="45"/>
      <c r="N243" s="46"/>
      <c r="O243" s="31"/>
    </row>
    <row r="244" spans="2:15" s="14" customFormat="1" ht="12.75">
      <c r="B244" s="15"/>
      <c r="C244" s="16" t="s">
        <v>593</v>
      </c>
      <c r="D244" s="47" t="s">
        <v>594</v>
      </c>
      <c r="E244" s="47"/>
      <c r="F244" s="47"/>
      <c r="G244" s="47"/>
      <c r="H244" s="47"/>
      <c r="I244" s="47"/>
      <c r="J244" s="47"/>
      <c r="K244" s="47"/>
      <c r="L244" s="47"/>
      <c r="M244" s="47"/>
      <c r="N244" s="48"/>
      <c r="O244" s="32"/>
    </row>
    <row r="245" spans="2:15" ht="25.5">
      <c r="B245" s="17">
        <v>145</v>
      </c>
      <c r="C245" s="18" t="s">
        <v>595</v>
      </c>
      <c r="D245" s="19" t="s">
        <v>596</v>
      </c>
      <c r="E245" s="19" t="s">
        <v>383</v>
      </c>
      <c r="F245" s="20">
        <v>0.04</v>
      </c>
      <c r="G245" s="21">
        <v>1</v>
      </c>
      <c r="H245" s="22">
        <f>F245 * G245 * 5828.670058</f>
        <v>233.14680232000001</v>
      </c>
      <c r="I245" s="22">
        <f>F245 * G245 * 173.595841</f>
        <v>6.9438336400000003</v>
      </c>
      <c r="J245" s="22">
        <f>F245 * G245 * 0</f>
        <v>0</v>
      </c>
      <c r="K245" s="22">
        <f>F245 * G245 * 5548.893896</f>
        <v>221.95575583999999</v>
      </c>
      <c r="L245" s="22">
        <f>F245 * G245 * 1341.632296</f>
        <v>53.665291840000002</v>
      </c>
      <c r="M245" s="22">
        <f>F245 * G245 * 1165.734012</f>
        <v>46.629360479999995</v>
      </c>
      <c r="N245" s="26">
        <f>SUM(H245:M245)</f>
        <v>562.34104411999999</v>
      </c>
      <c r="O245" s="29">
        <v>8.579596059440987E-3</v>
      </c>
    </row>
    <row r="246" spans="2:15" ht="25.5">
      <c r="B246" s="17">
        <v>146</v>
      </c>
      <c r="C246" s="18" t="s">
        <v>597</v>
      </c>
      <c r="D246" s="19" t="s">
        <v>598</v>
      </c>
      <c r="E246" s="19" t="s">
        <v>383</v>
      </c>
      <c r="F246" s="20">
        <v>0.04</v>
      </c>
      <c r="G246" s="21">
        <v>1</v>
      </c>
      <c r="H246" s="22">
        <f>F246 * G246 * 8743.005086</f>
        <v>349.72020343999998</v>
      </c>
      <c r="I246" s="22">
        <f>F246 * G246 * 201.555969</f>
        <v>8.0622387599999996</v>
      </c>
      <c r="J246" s="22">
        <f>F246 * G246 * 0</f>
        <v>0</v>
      </c>
      <c r="K246" s="22">
        <f>F246 * G246 * 8323.340842</f>
        <v>332.93363368000001</v>
      </c>
      <c r="L246" s="22">
        <f>F246 * G246 * 2006.241058</f>
        <v>80.249642320000007</v>
      </c>
      <c r="M246" s="22">
        <f>F246 * G246 * 1748.601017</f>
        <v>69.944040680000001</v>
      </c>
      <c r="N246" s="26">
        <f>SUM(H246:M246)</f>
        <v>840.90975888000003</v>
      </c>
      <c r="O246" s="29">
        <v>1.2829698506041744E-2</v>
      </c>
    </row>
    <row r="247" spans="2:15">
      <c r="B247" s="17">
        <v>147</v>
      </c>
      <c r="C247" s="18" t="s">
        <v>599</v>
      </c>
      <c r="D247" s="19" t="s">
        <v>600</v>
      </c>
      <c r="E247" s="19" t="s">
        <v>601</v>
      </c>
      <c r="F247" s="20">
        <v>0.1</v>
      </c>
      <c r="G247" s="21">
        <v>1</v>
      </c>
      <c r="H247" s="22">
        <f>F247 * G247 * 7840.237925</f>
        <v>784.02379250000013</v>
      </c>
      <c r="I247" s="22">
        <f>F247 * G247 * 785.473776</f>
        <v>78.547377600000004</v>
      </c>
      <c r="J247" s="22">
        <f>F247 * G247 * 0</f>
        <v>0</v>
      </c>
      <c r="K247" s="22">
        <f>F247 * G247 * 7463.906504</f>
        <v>746.39065040000003</v>
      </c>
      <c r="L247" s="22">
        <f>F247 * G247 * 1862.88374099999</f>
        <v>186.28837409999903</v>
      </c>
      <c r="M247" s="22">
        <f>F247 * G247 * 1568.047585</f>
        <v>156.80475850000002</v>
      </c>
      <c r="N247" s="26">
        <f>SUM(H247:M247)</f>
        <v>1952.0549530999992</v>
      </c>
      <c r="O247" s="29">
        <v>2.9782359225863531E-2</v>
      </c>
    </row>
    <row r="248" spans="2:15" s="14" customFormat="1" ht="12.75">
      <c r="B248" s="15"/>
      <c r="C248" s="16" t="s">
        <v>602</v>
      </c>
      <c r="D248" s="47" t="s">
        <v>603</v>
      </c>
      <c r="E248" s="47"/>
      <c r="F248" s="47"/>
      <c r="G248" s="47"/>
      <c r="H248" s="47"/>
      <c r="I248" s="47"/>
      <c r="J248" s="47"/>
      <c r="K248" s="47"/>
      <c r="L248" s="47"/>
      <c r="M248" s="47"/>
      <c r="N248" s="48"/>
      <c r="O248" s="32"/>
    </row>
    <row r="249" spans="2:15" ht="25.5">
      <c r="B249" s="17">
        <v>148</v>
      </c>
      <c r="C249" s="18" t="s">
        <v>604</v>
      </c>
      <c r="D249" s="19" t="s">
        <v>605</v>
      </c>
      <c r="E249" s="19" t="s">
        <v>606</v>
      </c>
      <c r="F249" s="20">
        <v>0.1</v>
      </c>
      <c r="G249" s="21">
        <v>1</v>
      </c>
      <c r="H249" s="22">
        <f>F249 * G249 * 12554.0585859999</f>
        <v>1255.4058586000001</v>
      </c>
      <c r="I249" s="22">
        <f>F249 * G249 * 0</f>
        <v>0</v>
      </c>
      <c r="J249" s="22">
        <f>F249 * G249 * 0</f>
        <v>0</v>
      </c>
      <c r="K249" s="22">
        <f>F249 * G249 * 11951.463774</f>
        <v>1195.1463774000001</v>
      </c>
      <c r="L249" s="22">
        <f>F249 * G249 * 2850.223245</f>
        <v>285.02232450000002</v>
      </c>
      <c r="M249" s="22">
        <f>F249 * G249 * 2510.811717</f>
        <v>251.08117170000003</v>
      </c>
      <c r="N249" s="26">
        <f>SUM(H249:M249)</f>
        <v>2986.6557322000008</v>
      </c>
      <c r="O249" s="29">
        <v>4.5567187419138296E-2</v>
      </c>
    </row>
    <row r="250" spans="2:15" ht="25.5">
      <c r="B250" s="17">
        <v>149</v>
      </c>
      <c r="C250" s="18" t="s">
        <v>607</v>
      </c>
      <c r="D250" s="19" t="s">
        <v>608</v>
      </c>
      <c r="E250" s="19" t="s">
        <v>348</v>
      </c>
      <c r="F250" s="20">
        <v>0.1</v>
      </c>
      <c r="G250" s="21">
        <v>1</v>
      </c>
      <c r="H250" s="22">
        <f>F250 * G250 * 4259.412734</f>
        <v>425.9412734</v>
      </c>
      <c r="I250" s="22">
        <f>F250 * G250 * 0</f>
        <v>0</v>
      </c>
      <c r="J250" s="22">
        <f>F250 * G250 * 0</f>
        <v>0</v>
      </c>
      <c r="K250" s="22">
        <f>F250 * G250 * 4054.960923</f>
        <v>405.49609230000004</v>
      </c>
      <c r="L250" s="22">
        <f>F250 * G250 * 967.040029</f>
        <v>96.704002900000006</v>
      </c>
      <c r="M250" s="22">
        <f>F250 * G250 * 851.882547</f>
        <v>85.188254700000016</v>
      </c>
      <c r="N250" s="26">
        <f>SUM(H250:M250)</f>
        <v>1013.3296233000001</v>
      </c>
      <c r="O250" s="29">
        <v>1.5460295729586232E-2</v>
      </c>
    </row>
    <row r="251" spans="2:15" s="14" customFormat="1" ht="12.75">
      <c r="B251" s="15"/>
      <c r="C251" s="16" t="s">
        <v>609</v>
      </c>
      <c r="D251" s="47" t="s">
        <v>610</v>
      </c>
      <c r="E251" s="47"/>
      <c r="F251" s="47"/>
      <c r="G251" s="47"/>
      <c r="H251" s="47"/>
      <c r="I251" s="47"/>
      <c r="J251" s="47"/>
      <c r="K251" s="47"/>
      <c r="L251" s="47"/>
      <c r="M251" s="47"/>
      <c r="N251" s="48"/>
      <c r="O251" s="32"/>
    </row>
    <row r="252" spans="2:15" ht="25.5">
      <c r="B252" s="17">
        <v>150</v>
      </c>
      <c r="C252" s="18" t="s">
        <v>611</v>
      </c>
      <c r="D252" s="19" t="s">
        <v>612</v>
      </c>
      <c r="E252" s="19" t="s">
        <v>337</v>
      </c>
      <c r="F252" s="20">
        <v>0.1</v>
      </c>
      <c r="G252" s="21">
        <v>1</v>
      </c>
      <c r="H252" s="22">
        <f>F252 * G252 * 7082.92288399999</f>
        <v>708.29228839999996</v>
      </c>
      <c r="I252" s="22">
        <f>F252 * G252 * 5032.269459</f>
        <v>503.22694590000003</v>
      </c>
      <c r="J252" s="22">
        <f>F252 * G252 * 0</f>
        <v>0</v>
      </c>
      <c r="K252" s="22">
        <f>F252 * G252 * 6742.942586</f>
        <v>674.29425860000003</v>
      </c>
      <c r="L252" s="22">
        <f>F252 * G252 * 2138.982908</f>
        <v>213.89829080000001</v>
      </c>
      <c r="M252" s="22">
        <f>F252 * G252 * 1416.584577</f>
        <v>141.65845770000001</v>
      </c>
      <c r="N252" s="26">
        <f>SUM(H252:M252)</f>
        <v>2241.3702413999995</v>
      </c>
      <c r="O252" s="29">
        <v>3.4196421356645905E-2</v>
      </c>
    </row>
    <row r="253" spans="2:15" s="14" customFormat="1" ht="12.75">
      <c r="B253" s="15"/>
      <c r="C253" s="16" t="s">
        <v>613</v>
      </c>
      <c r="D253" s="43" t="s">
        <v>614</v>
      </c>
      <c r="E253" s="43"/>
      <c r="F253" s="43"/>
      <c r="G253" s="43"/>
      <c r="H253" s="43"/>
      <c r="I253" s="43"/>
      <c r="J253" s="43"/>
      <c r="K253" s="43"/>
      <c r="L253" s="43"/>
      <c r="M253" s="43"/>
      <c r="N253" s="44"/>
      <c r="O253" s="28"/>
    </row>
    <row r="254" spans="2:15" s="14" customFormat="1" ht="12.75">
      <c r="B254" s="15"/>
      <c r="C254" s="16" t="s">
        <v>615</v>
      </c>
      <c r="D254" s="45" t="s">
        <v>616</v>
      </c>
      <c r="E254" s="45"/>
      <c r="F254" s="45"/>
      <c r="G254" s="45"/>
      <c r="H254" s="45"/>
      <c r="I254" s="45"/>
      <c r="J254" s="45"/>
      <c r="K254" s="45"/>
      <c r="L254" s="45"/>
      <c r="M254" s="45"/>
      <c r="N254" s="46"/>
      <c r="O254" s="31"/>
    </row>
    <row r="255" spans="2:15" ht="38.25">
      <c r="B255" s="17">
        <v>151</v>
      </c>
      <c r="C255" s="18" t="s">
        <v>617</v>
      </c>
      <c r="D255" s="19" t="s">
        <v>618</v>
      </c>
      <c r="E255" s="19" t="s">
        <v>619</v>
      </c>
      <c r="F255" s="20">
        <v>4</v>
      </c>
      <c r="G255" s="21">
        <v>12</v>
      </c>
      <c r="H255" s="22">
        <f>F255 * G255 * 25.29109</f>
        <v>1213.9723200000001</v>
      </c>
      <c r="I255" s="22">
        <f>F255 * G255 * 0</f>
        <v>0</v>
      </c>
      <c r="J255" s="22">
        <f>F255 * G255 * 0</f>
        <v>0</v>
      </c>
      <c r="K255" s="22">
        <f>F255 * G255 * 24.077118</f>
        <v>1155.7016639999999</v>
      </c>
      <c r="L255" s="22">
        <f>F255 * G255 * 5.741988</f>
        <v>275.61542400000002</v>
      </c>
      <c r="M255" s="22">
        <f>F255 * G255 * 5.058218</f>
        <v>242.794464</v>
      </c>
      <c r="N255" s="26">
        <f>SUM(H255:M255)</f>
        <v>2888.0838720000002</v>
      </c>
      <c r="O255" s="29">
        <v>4.4063283778835595E-2</v>
      </c>
    </row>
    <row r="256" spans="2:15" ht="25.5">
      <c r="B256" s="17">
        <v>152</v>
      </c>
      <c r="C256" s="18" t="s">
        <v>620</v>
      </c>
      <c r="D256" s="19" t="s">
        <v>621</v>
      </c>
      <c r="E256" s="19" t="s">
        <v>619</v>
      </c>
      <c r="F256" s="20">
        <v>4</v>
      </c>
      <c r="G256" s="21">
        <v>12</v>
      </c>
      <c r="H256" s="22">
        <f>F256 * G256 * 22.417962</f>
        <v>1076.0621759999999</v>
      </c>
      <c r="I256" s="22">
        <f>F256 * G256 * 0</f>
        <v>0</v>
      </c>
      <c r="J256" s="22">
        <f>F256 * G256 * 0</f>
        <v>0</v>
      </c>
      <c r="K256" s="22">
        <f>F256 * G256 * 21.3419</f>
        <v>1024.4112</v>
      </c>
      <c r="L256" s="22">
        <f>F256 * G256 * 5.089684</f>
        <v>244.304832</v>
      </c>
      <c r="M256" s="22">
        <f>F256 * G256 * 4.483592</f>
        <v>215.21241599999999</v>
      </c>
      <c r="N256" s="26">
        <f>SUM(H256:M256)</f>
        <v>2559.9906239999996</v>
      </c>
      <c r="O256" s="29">
        <v>3.9057589161479306E-2</v>
      </c>
    </row>
    <row r="257" spans="2:15" ht="38.25">
      <c r="B257" s="17">
        <v>153</v>
      </c>
      <c r="C257" s="18" t="s">
        <v>622</v>
      </c>
      <c r="D257" s="19" t="s">
        <v>623</v>
      </c>
      <c r="E257" s="19" t="s">
        <v>624</v>
      </c>
      <c r="F257" s="20">
        <v>4</v>
      </c>
      <c r="G257" s="21">
        <v>1</v>
      </c>
      <c r="H257" s="22">
        <f>F257 * G257 * 134.042777</f>
        <v>536.171108</v>
      </c>
      <c r="I257" s="22">
        <f>F257 * G257 * 0</f>
        <v>0</v>
      </c>
      <c r="J257" s="22">
        <f>F257 * G257 * 0</f>
        <v>0</v>
      </c>
      <c r="K257" s="22">
        <f>F257 * G257 * 127.608724</f>
        <v>510.43489599999998</v>
      </c>
      <c r="L257" s="22">
        <f>F257 * G257 * 30.432536</f>
        <v>121.730144</v>
      </c>
      <c r="M257" s="22">
        <f>F257 * G257 * 26.808555</f>
        <v>107.23421999999999</v>
      </c>
      <c r="N257" s="26">
        <f>SUM(H257:M257)</f>
        <v>1275.5703679999999</v>
      </c>
      <c r="O257" s="29">
        <v>1.9461283534724764E-2</v>
      </c>
    </row>
    <row r="258" spans="2:15" ht="25.5">
      <c r="B258" s="17">
        <v>154</v>
      </c>
      <c r="C258" s="18" t="s">
        <v>625</v>
      </c>
      <c r="D258" s="19" t="s">
        <v>626</v>
      </c>
      <c r="E258" s="19" t="s">
        <v>619</v>
      </c>
      <c r="F258" s="20">
        <v>4</v>
      </c>
      <c r="G258" s="21">
        <v>1</v>
      </c>
      <c r="H258" s="22">
        <f>F258 * G258 * 50.58218</f>
        <v>202.32872</v>
      </c>
      <c r="I258" s="22">
        <f>F258 * G258 * 0</f>
        <v>0</v>
      </c>
      <c r="J258" s="22">
        <f>F258 * G258 * 0</f>
        <v>0</v>
      </c>
      <c r="K258" s="22">
        <f>F258 * G258 * 48.154235</f>
        <v>192.61694</v>
      </c>
      <c r="L258" s="22">
        <f>F258 * G258 * 11.483976</f>
        <v>45.935904000000001</v>
      </c>
      <c r="M258" s="22">
        <f>F258 * G258 * 10.116436</f>
        <v>40.465744000000001</v>
      </c>
      <c r="N258" s="26">
        <f>SUM(H258:M258)</f>
        <v>481.347308</v>
      </c>
      <c r="O258" s="29">
        <v>7.3438805687782256E-3</v>
      </c>
    </row>
    <row r="259" spans="2:15" ht="25.5">
      <c r="B259" s="17">
        <v>155</v>
      </c>
      <c r="C259" s="18" t="s">
        <v>627</v>
      </c>
      <c r="D259" s="19" t="s">
        <v>628</v>
      </c>
      <c r="E259" s="19" t="s">
        <v>619</v>
      </c>
      <c r="F259" s="20">
        <v>4</v>
      </c>
      <c r="G259" s="21">
        <v>1</v>
      </c>
      <c r="H259" s="22">
        <f>F259 * G259 * 25.29109</f>
        <v>101.16436</v>
      </c>
      <c r="I259" s="22">
        <f>F259 * G259 * 0</f>
        <v>0</v>
      </c>
      <c r="J259" s="22">
        <f>F259 * G259 * 0</f>
        <v>0</v>
      </c>
      <c r="K259" s="22">
        <f>F259 * G259 * 24.077118</f>
        <v>96.308471999999995</v>
      </c>
      <c r="L259" s="22">
        <f>F259 * G259 * 5.741988</f>
        <v>22.967952</v>
      </c>
      <c r="M259" s="22">
        <f>F259 * G259 * 5.058218</f>
        <v>20.232872</v>
      </c>
      <c r="N259" s="26">
        <f>SUM(H259:M259)</f>
        <v>240.67365599999999</v>
      </c>
      <c r="O259" s="29">
        <v>3.6719403149029655E-3</v>
      </c>
    </row>
    <row r="260" spans="2:15" s="14" customFormat="1" ht="12.75">
      <c r="B260" s="15"/>
      <c r="C260" s="16" t="s">
        <v>629</v>
      </c>
      <c r="D260" s="45" t="s">
        <v>630</v>
      </c>
      <c r="E260" s="45"/>
      <c r="F260" s="45"/>
      <c r="G260" s="45"/>
      <c r="H260" s="45"/>
      <c r="I260" s="45"/>
      <c r="J260" s="45"/>
      <c r="K260" s="45"/>
      <c r="L260" s="45"/>
      <c r="M260" s="45"/>
      <c r="N260" s="46"/>
      <c r="O260" s="31"/>
    </row>
    <row r="261" spans="2:15" ht="38.25">
      <c r="B261" s="17">
        <v>156</v>
      </c>
      <c r="C261" s="18" t="s">
        <v>631</v>
      </c>
      <c r="D261" s="19" t="s">
        <v>632</v>
      </c>
      <c r="E261" s="19" t="s">
        <v>633</v>
      </c>
      <c r="F261" s="20">
        <v>2</v>
      </c>
      <c r="G261" s="21">
        <v>12</v>
      </c>
      <c r="H261" s="22">
        <f>F261 * G261 * 40.465744</f>
        <v>971.17785600000002</v>
      </c>
      <c r="I261" s="22">
        <f>F261 * G261 * 0</f>
        <v>0</v>
      </c>
      <c r="J261" s="22">
        <f>F261 * G261 * 0</f>
        <v>0</v>
      </c>
      <c r="K261" s="22">
        <f>F261 * G261 * 38.523389</f>
        <v>924.56133599999998</v>
      </c>
      <c r="L261" s="22">
        <f>F261 * G261 * 9.18718</f>
        <v>220.49232000000001</v>
      </c>
      <c r="M261" s="22">
        <f>F261 * G261 * 8.093149</f>
        <v>194.23557600000001</v>
      </c>
      <c r="N261" s="26">
        <f>SUM(H261:M261)</f>
        <v>2310.4670879999999</v>
      </c>
      <c r="O261" s="29">
        <v>3.5250626876601972E-2</v>
      </c>
    </row>
    <row r="262" spans="2:15" ht="25.5">
      <c r="B262" s="17">
        <v>157</v>
      </c>
      <c r="C262" s="18" t="s">
        <v>634</v>
      </c>
      <c r="D262" s="19" t="s">
        <v>635</v>
      </c>
      <c r="E262" s="19" t="s">
        <v>633</v>
      </c>
      <c r="F262" s="20">
        <v>2</v>
      </c>
      <c r="G262" s="21">
        <v>12</v>
      </c>
      <c r="H262" s="22">
        <f>F262 * G262 * 22.417962</f>
        <v>538.03108799999995</v>
      </c>
      <c r="I262" s="22">
        <f>F262 * G262 * 0</f>
        <v>0</v>
      </c>
      <c r="J262" s="22">
        <f>F262 * G262 * 0</f>
        <v>0</v>
      </c>
      <c r="K262" s="22">
        <f>F262 * G262 * 21.3419</f>
        <v>512.2056</v>
      </c>
      <c r="L262" s="22">
        <f>F262 * G262 * 5.089684</f>
        <v>122.152416</v>
      </c>
      <c r="M262" s="22">
        <f>F262 * G262 * 4.483592</f>
        <v>107.606208</v>
      </c>
      <c r="N262" s="26">
        <f>SUM(H262:M262)</f>
        <v>1279.9953119999998</v>
      </c>
      <c r="O262" s="29">
        <v>1.9528794580739653E-2</v>
      </c>
    </row>
    <row r="263" spans="2:15" ht="38.25">
      <c r="B263" s="17">
        <v>158</v>
      </c>
      <c r="C263" s="18" t="s">
        <v>636</v>
      </c>
      <c r="D263" s="19" t="s">
        <v>637</v>
      </c>
      <c r="E263" s="19" t="s">
        <v>624</v>
      </c>
      <c r="F263" s="20">
        <v>4</v>
      </c>
      <c r="G263" s="21">
        <v>1</v>
      </c>
      <c r="H263" s="22">
        <f>F263 * G263 * 217.503375</f>
        <v>870.01350000000002</v>
      </c>
      <c r="I263" s="22">
        <f>F263 * G263 * 0</f>
        <v>0</v>
      </c>
      <c r="J263" s="22">
        <f>F263 * G263 * 0</f>
        <v>0</v>
      </c>
      <c r="K263" s="22">
        <f>F263 * G263 * 207.063213</f>
        <v>828.25285199999996</v>
      </c>
      <c r="L263" s="22">
        <f>F263 * G263 * 49.381096</f>
        <v>197.524384</v>
      </c>
      <c r="M263" s="22">
        <f>F263 * G263 * 43.500675</f>
        <v>174.0027</v>
      </c>
      <c r="N263" s="26">
        <f>SUM(H263:M263)</f>
        <v>2069.7934359999999</v>
      </c>
      <c r="O263" s="29">
        <v>3.1578686622726719E-2</v>
      </c>
    </row>
    <row r="264" spans="2:15" ht="25.5">
      <c r="B264" s="17">
        <v>159</v>
      </c>
      <c r="C264" s="18" t="s">
        <v>638</v>
      </c>
      <c r="D264" s="19" t="s">
        <v>639</v>
      </c>
      <c r="E264" s="19" t="s">
        <v>633</v>
      </c>
      <c r="F264" s="20">
        <v>2</v>
      </c>
      <c r="G264" s="21">
        <v>1</v>
      </c>
      <c r="H264" s="22">
        <f>F264 * G264 * 50.58218</f>
        <v>101.16436</v>
      </c>
      <c r="I264" s="22">
        <f>F264 * G264 * 0</f>
        <v>0</v>
      </c>
      <c r="J264" s="22">
        <f>F264 * G264 * 0</f>
        <v>0</v>
      </c>
      <c r="K264" s="22">
        <f>F264 * G264 * 48.154235</f>
        <v>96.30847</v>
      </c>
      <c r="L264" s="22">
        <f>F264 * G264 * 11.483976</f>
        <v>22.967952</v>
      </c>
      <c r="M264" s="22">
        <f>F264 * G264 * 10.116436</f>
        <v>20.232872</v>
      </c>
      <c r="N264" s="26">
        <f>SUM(H264:M264)</f>
        <v>240.673654</v>
      </c>
      <c r="O264" s="29">
        <v>3.6719402843891128E-3</v>
      </c>
    </row>
    <row r="265" spans="2:15" ht="38.25">
      <c r="B265" s="17">
        <v>160</v>
      </c>
      <c r="C265" s="18" t="s">
        <v>640</v>
      </c>
      <c r="D265" s="19" t="s">
        <v>641</v>
      </c>
      <c r="E265" s="19" t="s">
        <v>633</v>
      </c>
      <c r="F265" s="20">
        <v>2</v>
      </c>
      <c r="G265" s="21">
        <v>1</v>
      </c>
      <c r="H265" s="22">
        <f>F265 * G265 * 182.095849</f>
        <v>364.19169799999997</v>
      </c>
      <c r="I265" s="22">
        <f>F265 * G265 * 0</f>
        <v>0</v>
      </c>
      <c r="J265" s="22">
        <f>F265 * G265 * 0</f>
        <v>0</v>
      </c>
      <c r="K265" s="22">
        <f>F265 * G265 * 173.355248</f>
        <v>346.71049599999998</v>
      </c>
      <c r="L265" s="22">
        <f>F265 * G265 * 41.342313</f>
        <v>82.684625999999994</v>
      </c>
      <c r="M265" s="22">
        <f>F265 * G265 * 36.41917</f>
        <v>72.838340000000002</v>
      </c>
      <c r="N265" s="26">
        <f>SUM(H265:M265)</f>
        <v>866.42516000000001</v>
      </c>
      <c r="O265" s="29">
        <v>1.3218985109239594E-2</v>
      </c>
    </row>
    <row r="266" spans="2:15" s="14" customFormat="1" ht="12.75">
      <c r="B266" s="15"/>
      <c r="C266" s="16" t="s">
        <v>642</v>
      </c>
      <c r="D266" s="47" t="s">
        <v>643</v>
      </c>
      <c r="E266" s="47"/>
      <c r="F266" s="47"/>
      <c r="G266" s="47"/>
      <c r="H266" s="47"/>
      <c r="I266" s="47"/>
      <c r="J266" s="47"/>
      <c r="K266" s="47"/>
      <c r="L266" s="47"/>
      <c r="M266" s="47"/>
      <c r="N266" s="48"/>
      <c r="O266" s="32"/>
    </row>
    <row r="267" spans="2:15" ht="38.25">
      <c r="B267" s="17">
        <v>161</v>
      </c>
      <c r="C267" s="18" t="s">
        <v>644</v>
      </c>
      <c r="D267" s="19" t="s">
        <v>645</v>
      </c>
      <c r="E267" s="19" t="s">
        <v>633</v>
      </c>
      <c r="F267" s="20">
        <v>2</v>
      </c>
      <c r="G267" s="21">
        <v>0.4</v>
      </c>
      <c r="H267" s="22">
        <f>F267 * G267 * 40.465744</f>
        <v>32.372595199999999</v>
      </c>
      <c r="I267" s="22">
        <f>F267 * G267 * 0</f>
        <v>0</v>
      </c>
      <c r="J267" s="22">
        <f>F267 * G267 * 0</f>
        <v>0</v>
      </c>
      <c r="K267" s="22">
        <f>F267 * G267 * 38.523389</f>
        <v>30.818711200000003</v>
      </c>
      <c r="L267" s="22">
        <f>F267 * G267 * 9.18718</f>
        <v>7.3497440000000003</v>
      </c>
      <c r="M267" s="22">
        <f>F267 * G267 * 8.093149</f>
        <v>6.4745192000000005</v>
      </c>
      <c r="N267" s="26">
        <f>SUM(H267:M267)</f>
        <v>77.015569600000006</v>
      </c>
      <c r="O267" s="29">
        <v>1.1750208958867328E-3</v>
      </c>
    </row>
    <row r="268" spans="2:15" ht="25.5">
      <c r="B268" s="17">
        <v>162</v>
      </c>
      <c r="C268" s="18" t="s">
        <v>646</v>
      </c>
      <c r="D268" s="19" t="s">
        <v>647</v>
      </c>
      <c r="E268" s="19" t="s">
        <v>633</v>
      </c>
      <c r="F268" s="20">
        <v>2</v>
      </c>
      <c r="G268" s="21">
        <v>0.4</v>
      </c>
      <c r="H268" s="22">
        <f>F268 * G268 * 252.910901</f>
        <v>202.32872080000001</v>
      </c>
      <c r="I268" s="22">
        <f>F268 * G268 * 0</f>
        <v>0</v>
      </c>
      <c r="J268" s="22">
        <f>F268 * G268 * 0</f>
        <v>0</v>
      </c>
      <c r="K268" s="22">
        <f>F268 * G268 * 240.771178</f>
        <v>192.6169424</v>
      </c>
      <c r="L268" s="22">
        <f>F268 * G268 * 57.419879</f>
        <v>45.935903200000006</v>
      </c>
      <c r="M268" s="22">
        <f>F268 * G268 * 50.58218</f>
        <v>40.465744000000001</v>
      </c>
      <c r="N268" s="26">
        <f>SUM(H268:M268)</f>
        <v>481.34731039999997</v>
      </c>
      <c r="O268" s="29">
        <v>7.3438806053948485E-3</v>
      </c>
    </row>
    <row r="269" spans="2:15" ht="38.25">
      <c r="B269" s="17">
        <v>163</v>
      </c>
      <c r="C269" s="18" t="s">
        <v>648</v>
      </c>
      <c r="D269" s="19" t="s">
        <v>649</v>
      </c>
      <c r="E269" s="19" t="s">
        <v>633</v>
      </c>
      <c r="F269" s="20">
        <v>2</v>
      </c>
      <c r="G269" s="21">
        <v>12</v>
      </c>
      <c r="H269" s="22">
        <f>F269 * G269 * 38.749428</f>
        <v>929.9862720000001</v>
      </c>
      <c r="I269" s="22">
        <f>F269 * G269 * 0</f>
        <v>0</v>
      </c>
      <c r="J269" s="22">
        <f>F269 * G269 * 0</f>
        <v>0</v>
      </c>
      <c r="K269" s="22">
        <f>F269 * G269 * 36.889455</f>
        <v>885.34691999999995</v>
      </c>
      <c r="L269" s="22">
        <f>F269 * G269 * 8.797515</f>
        <v>211.14036000000002</v>
      </c>
      <c r="M269" s="22">
        <f>F269 * G269 * 7.749886</f>
        <v>185.997264</v>
      </c>
      <c r="N269" s="26">
        <f>SUM(H269:M269)</f>
        <v>2212.470816</v>
      </c>
      <c r="O269" s="29">
        <v>3.3755504943244231E-2</v>
      </c>
    </row>
    <row r="270" spans="2:15" ht="38.25">
      <c r="B270" s="17">
        <v>164</v>
      </c>
      <c r="C270" s="18" t="s">
        <v>650</v>
      </c>
      <c r="D270" s="19" t="s">
        <v>651</v>
      </c>
      <c r="E270" s="19" t="s">
        <v>633</v>
      </c>
      <c r="F270" s="20">
        <v>2</v>
      </c>
      <c r="G270" s="21">
        <v>12</v>
      </c>
      <c r="H270" s="22">
        <f>F270 * G270 * 464.993136</f>
        <v>11159.835263999999</v>
      </c>
      <c r="I270" s="22">
        <f>F270 * G270 * 0</f>
        <v>0</v>
      </c>
      <c r="J270" s="22">
        <f>F270 * G270 * 0</f>
        <v>0</v>
      </c>
      <c r="K270" s="22">
        <f>F270 * G270 * 442.673465</f>
        <v>10624.16316</v>
      </c>
      <c r="L270" s="22">
        <f>F270 * G270 * 105.570181</f>
        <v>2533.6843440000002</v>
      </c>
      <c r="M270" s="22">
        <f>F270 * G270 * 92.998627</f>
        <v>2231.967048</v>
      </c>
      <c r="N270" s="26">
        <f>SUM(H270:M270)</f>
        <v>26549.649815999997</v>
      </c>
      <c r="O270" s="29">
        <v>0.40506605968509701</v>
      </c>
    </row>
    <row r="271" spans="2:15" s="14" customFormat="1" ht="12.75">
      <c r="B271" s="15"/>
      <c r="C271" s="16" t="s">
        <v>652</v>
      </c>
      <c r="D271" s="45" t="s">
        <v>653</v>
      </c>
      <c r="E271" s="45"/>
      <c r="F271" s="45"/>
      <c r="G271" s="45"/>
      <c r="H271" s="45"/>
      <c r="I271" s="45"/>
      <c r="J271" s="45"/>
      <c r="K271" s="45"/>
      <c r="L271" s="45"/>
      <c r="M271" s="45"/>
      <c r="N271" s="46"/>
      <c r="O271" s="31"/>
    </row>
    <row r="272" spans="2:15" ht="25.5">
      <c r="B272" s="17">
        <v>165</v>
      </c>
      <c r="C272" s="18" t="s">
        <v>654</v>
      </c>
      <c r="D272" s="19" t="s">
        <v>655</v>
      </c>
      <c r="E272" s="19" t="s">
        <v>249</v>
      </c>
      <c r="F272" s="20">
        <v>2</v>
      </c>
      <c r="G272" s="21">
        <v>0.3</v>
      </c>
      <c r="H272" s="22">
        <f>F272 * G272 * 376.837242</f>
        <v>226.1023452</v>
      </c>
      <c r="I272" s="22">
        <f>F272 * G272 * 0</f>
        <v>0</v>
      </c>
      <c r="J272" s="22">
        <f>F272 * G272 * 0</f>
        <v>0</v>
      </c>
      <c r="K272" s="22">
        <f>F272 * G272 * 358.749054</f>
        <v>215.24943239999999</v>
      </c>
      <c r="L272" s="22">
        <f>F272 * G272 * 85.55562</f>
        <v>51.333372000000004</v>
      </c>
      <c r="M272" s="22">
        <f>F272 * G272 * 75.367448</f>
        <v>45.220468799999999</v>
      </c>
      <c r="N272" s="26">
        <f>SUM(H272:M272)</f>
        <v>537.90561839999998</v>
      </c>
      <c r="O272" s="29">
        <v>8.2067865616990109E-3</v>
      </c>
    </row>
    <row r="273" spans="2:15" ht="25.5">
      <c r="B273" s="17">
        <v>166</v>
      </c>
      <c r="C273" s="18" t="s">
        <v>656</v>
      </c>
      <c r="D273" s="19" t="s">
        <v>657</v>
      </c>
      <c r="E273" s="19" t="s">
        <v>249</v>
      </c>
      <c r="F273" s="20">
        <v>2</v>
      </c>
      <c r="G273" s="21">
        <v>0.3</v>
      </c>
      <c r="H273" s="22">
        <f>F273 * G273 * 376.837242</f>
        <v>226.1023452</v>
      </c>
      <c r="I273" s="22">
        <f>F273 * G273 * 0</f>
        <v>0</v>
      </c>
      <c r="J273" s="22">
        <f>F273 * G273 * 0</f>
        <v>0</v>
      </c>
      <c r="K273" s="22">
        <f>F273 * G273 * 358.749054</f>
        <v>215.24943239999999</v>
      </c>
      <c r="L273" s="22">
        <f>F273 * G273 * 85.55562</f>
        <v>51.333372000000004</v>
      </c>
      <c r="M273" s="22">
        <f>F273 * G273 * 75.367448</f>
        <v>45.220468799999999</v>
      </c>
      <c r="N273" s="26">
        <f>SUM(H273:M273)</f>
        <v>537.90561839999998</v>
      </c>
      <c r="O273" s="29">
        <v>8.2067865616990109E-3</v>
      </c>
    </row>
    <row r="274" spans="2:15" s="11" customFormat="1" ht="15">
      <c r="B274" s="12"/>
      <c r="C274" s="13" t="s">
        <v>658</v>
      </c>
      <c r="D274" s="41" t="s">
        <v>659</v>
      </c>
      <c r="E274" s="41"/>
      <c r="F274" s="41"/>
      <c r="G274" s="41"/>
      <c r="H274" s="41"/>
      <c r="I274" s="41"/>
      <c r="J274" s="41"/>
      <c r="K274" s="41"/>
      <c r="L274" s="41"/>
      <c r="M274" s="41"/>
      <c r="N274" s="42"/>
      <c r="O274" s="30"/>
    </row>
    <row r="275" spans="2:15" s="14" customFormat="1" ht="12.75">
      <c r="B275" s="15"/>
      <c r="C275" s="16" t="s">
        <v>660</v>
      </c>
      <c r="D275" s="43" t="s">
        <v>661</v>
      </c>
      <c r="E275" s="43"/>
      <c r="F275" s="43"/>
      <c r="G275" s="43"/>
      <c r="H275" s="43"/>
      <c r="I275" s="43"/>
      <c r="J275" s="43"/>
      <c r="K275" s="43"/>
      <c r="L275" s="43"/>
      <c r="M275" s="43"/>
      <c r="N275" s="44"/>
      <c r="O275" s="28"/>
    </row>
    <row r="276" spans="2:15" ht="76.5">
      <c r="B276" s="17">
        <v>167</v>
      </c>
      <c r="C276" s="18" t="s">
        <v>662</v>
      </c>
      <c r="D276" s="19" t="s">
        <v>663</v>
      </c>
      <c r="E276" s="19" t="s">
        <v>664</v>
      </c>
      <c r="F276" s="20">
        <v>6.548</v>
      </c>
      <c r="G276" s="21">
        <v>3</v>
      </c>
      <c r="H276" s="22">
        <f>F276 * G276 * 2790.208325</f>
        <v>54810.852336299999</v>
      </c>
      <c r="I276" s="22">
        <f>F276 * G276 * 0</f>
        <v>0</v>
      </c>
      <c r="J276" s="22">
        <f>F276 * G276 * 0</f>
        <v>0</v>
      </c>
      <c r="K276" s="22">
        <f>F276 * G276 * 2656.278325</f>
        <v>52179.931416300002</v>
      </c>
      <c r="L276" s="22">
        <f>F276 * G276 * 633.477738</f>
        <v>12444.036685272</v>
      </c>
      <c r="M276" s="22">
        <f>F276 * G276 * 558.041665</f>
        <v>10962.170467259999</v>
      </c>
      <c r="N276" s="26">
        <f>SUM(H276:M276)</f>
        <v>130396.990905132</v>
      </c>
      <c r="O276" s="29">
        <v>1.9894573249287806</v>
      </c>
    </row>
    <row r="277" spans="2:15" s="11" customFormat="1" ht="15">
      <c r="B277" s="12"/>
      <c r="C277" s="13" t="s">
        <v>665</v>
      </c>
      <c r="D277" s="41" t="s">
        <v>666</v>
      </c>
      <c r="E277" s="41"/>
      <c r="F277" s="41"/>
      <c r="G277" s="41"/>
      <c r="H277" s="41"/>
      <c r="I277" s="41"/>
      <c r="J277" s="41"/>
      <c r="K277" s="41"/>
      <c r="L277" s="41"/>
      <c r="M277" s="41"/>
      <c r="N277" s="42"/>
      <c r="O277" s="30"/>
    </row>
    <row r="278" spans="2:15" s="14" customFormat="1" ht="12.75">
      <c r="B278" s="15"/>
      <c r="C278" s="16" t="s">
        <v>667</v>
      </c>
      <c r="D278" s="43" t="s">
        <v>668</v>
      </c>
      <c r="E278" s="43"/>
      <c r="F278" s="43"/>
      <c r="G278" s="43"/>
      <c r="H278" s="43"/>
      <c r="I278" s="43"/>
      <c r="J278" s="43"/>
      <c r="K278" s="43"/>
      <c r="L278" s="43"/>
      <c r="M278" s="43"/>
      <c r="N278" s="44"/>
      <c r="O278" s="28"/>
    </row>
    <row r="279" spans="2:15" s="14" customFormat="1" ht="12.75">
      <c r="B279" s="15"/>
      <c r="C279" s="16" t="s">
        <v>669</v>
      </c>
      <c r="D279" s="45" t="s">
        <v>670</v>
      </c>
      <c r="E279" s="45"/>
      <c r="F279" s="45"/>
      <c r="G279" s="45"/>
      <c r="H279" s="45"/>
      <c r="I279" s="45"/>
      <c r="J279" s="45"/>
      <c r="K279" s="45"/>
      <c r="L279" s="45"/>
      <c r="M279" s="45"/>
      <c r="N279" s="46"/>
      <c r="O279" s="31"/>
    </row>
    <row r="280" spans="2:15" s="14" customFormat="1" ht="12.75">
      <c r="B280" s="15"/>
      <c r="C280" s="16" t="s">
        <v>671</v>
      </c>
      <c r="D280" s="47" t="s">
        <v>672</v>
      </c>
      <c r="E280" s="47"/>
      <c r="F280" s="47"/>
      <c r="G280" s="47"/>
      <c r="H280" s="47"/>
      <c r="I280" s="47"/>
      <c r="J280" s="47"/>
      <c r="K280" s="47"/>
      <c r="L280" s="47"/>
      <c r="M280" s="47"/>
      <c r="N280" s="48"/>
      <c r="O280" s="32"/>
    </row>
    <row r="281" spans="2:15" ht="38.25">
      <c r="B281" s="17">
        <v>168</v>
      </c>
      <c r="C281" s="18" t="s">
        <v>673</v>
      </c>
      <c r="D281" s="19" t="s">
        <v>674</v>
      </c>
      <c r="E281" s="19" t="s">
        <v>675</v>
      </c>
      <c r="F281" s="20">
        <v>4.32</v>
      </c>
      <c r="G281" s="21">
        <v>104</v>
      </c>
      <c r="H281" s="22">
        <f>F281 * G281 * 201.601933</f>
        <v>90575.71645824</v>
      </c>
      <c r="I281" s="22">
        <f>F281 * G281 * 3.563352</f>
        <v>1600.9427865600001</v>
      </c>
      <c r="J281" s="22">
        <f>F281 * G281 * 0</f>
        <v>0</v>
      </c>
      <c r="K281" s="22">
        <f>F281 * G281 * 191.92504</f>
        <v>86228.081971200008</v>
      </c>
      <c r="L281" s="22">
        <f>F281 * G281 * 46.146831</f>
        <v>20732.84823168</v>
      </c>
      <c r="M281" s="22">
        <f>F281 * G281 * 40.320387</f>
        <v>18115.143471359999</v>
      </c>
      <c r="N281" s="26">
        <f>SUM(H281:M281)</f>
        <v>217252.73291903999</v>
      </c>
      <c r="O281" s="29">
        <v>3.3146090095056753</v>
      </c>
    </row>
    <row r="282" spans="2:15" ht="38.25">
      <c r="B282" s="17">
        <v>169</v>
      </c>
      <c r="C282" s="18" t="s">
        <v>676</v>
      </c>
      <c r="D282" s="19" t="s">
        <v>677</v>
      </c>
      <c r="E282" s="19" t="s">
        <v>678</v>
      </c>
      <c r="F282" s="20">
        <v>6.48</v>
      </c>
      <c r="G282" s="21">
        <v>104</v>
      </c>
      <c r="H282" s="22">
        <f>F282 * G282 * 153.816327</f>
        <v>103659.89909184001</v>
      </c>
      <c r="I282" s="22">
        <f>F282 * G282 * 3.563352</f>
        <v>2401.4141798400001</v>
      </c>
      <c r="J282" s="22">
        <f>F282 * G282 * 0</f>
        <v>0</v>
      </c>
      <c r="K282" s="22">
        <f>F282 * G282 * 146.433144</f>
        <v>98684.224404480003</v>
      </c>
      <c r="L282" s="22">
        <f>F282 * G282 * 35.2977769999999</f>
        <v>23787.877875839935</v>
      </c>
      <c r="M282" s="22">
        <f>F282 * G282 * 30.763265</f>
        <v>20731.979548800002</v>
      </c>
      <c r="N282" s="26">
        <f>SUM(H282:M282)</f>
        <v>249265.39510079994</v>
      </c>
      <c r="O282" s="29">
        <v>3.8030238481142429</v>
      </c>
    </row>
    <row r="283" spans="2:15" s="14" customFormat="1" ht="12.75">
      <c r="B283" s="15"/>
      <c r="C283" s="16" t="s">
        <v>679</v>
      </c>
      <c r="D283" s="47" t="s">
        <v>680</v>
      </c>
      <c r="E283" s="47"/>
      <c r="F283" s="47"/>
      <c r="G283" s="47"/>
      <c r="H283" s="47"/>
      <c r="I283" s="47"/>
      <c r="J283" s="47"/>
      <c r="K283" s="47"/>
      <c r="L283" s="47"/>
      <c r="M283" s="47"/>
      <c r="N283" s="48"/>
      <c r="O283" s="32"/>
    </row>
    <row r="284" spans="2:15" ht="25.5">
      <c r="B284" s="17">
        <v>170</v>
      </c>
      <c r="C284" s="18" t="s">
        <v>681</v>
      </c>
      <c r="D284" s="19" t="s">
        <v>682</v>
      </c>
      <c r="E284" s="19" t="s">
        <v>678</v>
      </c>
      <c r="F284" s="20">
        <v>4.32</v>
      </c>
      <c r="G284" s="21">
        <v>24</v>
      </c>
      <c r="H284" s="22">
        <f>F284 * G284 * 461.448981</f>
        <v>47843.03035008</v>
      </c>
      <c r="I284" s="22">
        <f>F284 * G284 * 93.32508</f>
        <v>9675.9442944000002</v>
      </c>
      <c r="J284" s="22">
        <f>F284 * G284 * 0</f>
        <v>0</v>
      </c>
      <c r="K284" s="22">
        <f>F284 * G284 * 439.29943</f>
        <v>45546.564902400001</v>
      </c>
      <c r="L284" s="22">
        <f>F284 * G284 * 114.611325999999</f>
        <v>11882.902279679896</v>
      </c>
      <c r="M284" s="22">
        <f>F284 * G284 * 92.289796</f>
        <v>9568.6060492800007</v>
      </c>
      <c r="N284" s="26">
        <f>SUM(H284:M284)</f>
        <v>124517.0478758399</v>
      </c>
      <c r="O284" s="29">
        <v>1.8997474654558753</v>
      </c>
    </row>
    <row r="285" spans="2:15" ht="25.5">
      <c r="B285" s="17">
        <v>171</v>
      </c>
      <c r="C285" s="18" t="s">
        <v>683</v>
      </c>
      <c r="D285" s="19" t="s">
        <v>684</v>
      </c>
      <c r="E285" s="19" t="s">
        <v>675</v>
      </c>
      <c r="F285" s="20">
        <v>6.48</v>
      </c>
      <c r="G285" s="21">
        <v>24</v>
      </c>
      <c r="H285" s="22">
        <f>F285 * G285 * 372.4406</f>
        <v>57921.962112000008</v>
      </c>
      <c r="I285" s="22">
        <f>F285 * G285 * 93.32508</f>
        <v>14513.9164416</v>
      </c>
      <c r="J285" s="22">
        <f>F285 * G285 * 0</f>
        <v>0</v>
      </c>
      <c r="K285" s="22">
        <f>F285 * G285 * 354.563451</f>
        <v>55141.707899519999</v>
      </c>
      <c r="L285" s="22">
        <f>F285 * G285 * 94.40322</f>
        <v>14681.588774400001</v>
      </c>
      <c r="M285" s="22">
        <f>F285 * G285 * 74.48812</f>
        <v>11584.3924224</v>
      </c>
      <c r="N285" s="26">
        <f>SUM(H285:M285)</f>
        <v>153843.56764992001</v>
      </c>
      <c r="O285" s="29">
        <v>2.3471800263932625</v>
      </c>
    </row>
    <row r="286" spans="2:15" s="14" customFormat="1" ht="12.75">
      <c r="B286" s="15"/>
      <c r="C286" s="16" t="s">
        <v>685</v>
      </c>
      <c r="D286" s="43" t="s">
        <v>686</v>
      </c>
      <c r="E286" s="43"/>
      <c r="F286" s="43"/>
      <c r="G286" s="43"/>
      <c r="H286" s="43"/>
      <c r="I286" s="43"/>
      <c r="J286" s="43"/>
      <c r="K286" s="43"/>
      <c r="L286" s="43"/>
      <c r="M286" s="43"/>
      <c r="N286" s="44"/>
      <c r="O286" s="28"/>
    </row>
    <row r="287" spans="2:15" ht="25.5">
      <c r="B287" s="17">
        <v>172</v>
      </c>
      <c r="C287" s="18" t="s">
        <v>687</v>
      </c>
      <c r="D287" s="19" t="s">
        <v>688</v>
      </c>
      <c r="E287" s="19" t="s">
        <v>35</v>
      </c>
      <c r="F287" s="20">
        <v>0.6</v>
      </c>
      <c r="G287" s="21">
        <v>2</v>
      </c>
      <c r="H287" s="22">
        <f>F287 * G287 * 184.579592</f>
        <v>221.49551039999997</v>
      </c>
      <c r="I287" s="22">
        <f>F287 * G287 * 11.441322</f>
        <v>13.729586399999999</v>
      </c>
      <c r="J287" s="22">
        <f>F287 * G287 * 0</f>
        <v>0</v>
      </c>
      <c r="K287" s="22">
        <f>F287 * G287 * 175.719772</f>
        <v>210.86372639999999</v>
      </c>
      <c r="L287" s="22">
        <f>F287 * G287 * 43.113272</f>
        <v>51.735926400000004</v>
      </c>
      <c r="M287" s="22">
        <f>F287 * G287 * 36.915918</f>
        <v>44.299101599999993</v>
      </c>
      <c r="N287" s="26">
        <f>SUM(H287:M287)</f>
        <v>542.12385119999999</v>
      </c>
      <c r="O287" s="29">
        <v>8.2711438300988645E-3</v>
      </c>
    </row>
    <row r="288" spans="2:15" ht="25.5">
      <c r="B288" s="17">
        <v>173</v>
      </c>
      <c r="C288" s="18" t="s">
        <v>689</v>
      </c>
      <c r="D288" s="19" t="s">
        <v>690</v>
      </c>
      <c r="E288" s="19" t="s">
        <v>691</v>
      </c>
      <c r="F288" s="20">
        <v>0.05</v>
      </c>
      <c r="G288" s="21">
        <v>2</v>
      </c>
      <c r="H288" s="22">
        <f>F288 * G288 * 464.935484</f>
        <v>46.493548400000002</v>
      </c>
      <c r="I288" s="22">
        <f>F288 * G288 * 77.736402</f>
        <v>7.7736402</v>
      </c>
      <c r="J288" s="22">
        <f>F288 * G288 * 0</f>
        <v>0</v>
      </c>
      <c r="K288" s="22">
        <f>F288 * G288 * 442.618580999999</f>
        <v>44.261858099999898</v>
      </c>
      <c r="L288" s="22">
        <f>F288 * G288 * 113.758283</f>
        <v>11.375828300000002</v>
      </c>
      <c r="M288" s="22">
        <f>F288 * G288 * 92.987097</f>
        <v>9.2987097000000016</v>
      </c>
      <c r="N288" s="26">
        <f>SUM(H288:M288)</f>
        <v>119.20358469999989</v>
      </c>
      <c r="O288" s="29">
        <v>1.8186803475527874E-3</v>
      </c>
    </row>
    <row r="289" spans="2:15" s="14" customFormat="1" ht="12.75">
      <c r="B289" s="15"/>
      <c r="C289" s="16" t="s">
        <v>692</v>
      </c>
      <c r="D289" s="43" t="s">
        <v>693</v>
      </c>
      <c r="E289" s="43"/>
      <c r="F289" s="43"/>
      <c r="G289" s="43"/>
      <c r="H289" s="43"/>
      <c r="I289" s="43"/>
      <c r="J289" s="43"/>
      <c r="K289" s="43"/>
      <c r="L289" s="43"/>
      <c r="M289" s="43"/>
      <c r="N289" s="44"/>
      <c r="O289" s="28"/>
    </row>
    <row r="290" spans="2:15" ht="25.5">
      <c r="B290" s="17">
        <v>174</v>
      </c>
      <c r="C290" s="18" t="s">
        <v>694</v>
      </c>
      <c r="D290" s="19" t="s">
        <v>695</v>
      </c>
      <c r="E290" s="19" t="s">
        <v>696</v>
      </c>
      <c r="F290" s="20">
        <v>0.08</v>
      </c>
      <c r="G290" s="21">
        <v>2</v>
      </c>
      <c r="H290" s="22">
        <f>F290 * G290 * 468.216899</f>
        <v>74.914703840000001</v>
      </c>
      <c r="I290" s="22">
        <f>F290 * G290 * 77.824386</f>
        <v>12.45190176</v>
      </c>
      <c r="J290" s="22">
        <f>F290 * G290 * 0</f>
        <v>0</v>
      </c>
      <c r="K290" s="22">
        <f>F290 * G290 * 445.742487</f>
        <v>71.318797919999994</v>
      </c>
      <c r="L290" s="22">
        <f>F290 * G290 * 114.512565</f>
        <v>18.3220104</v>
      </c>
      <c r="M290" s="22">
        <f>F290 * G290 * 93.64338</f>
        <v>14.9829408</v>
      </c>
      <c r="N290" s="26">
        <f>SUM(H290:M290)</f>
        <v>191.99035472</v>
      </c>
      <c r="O290" s="29">
        <v>2.9291827584523376E-3</v>
      </c>
    </row>
    <row r="291" spans="2:15" ht="25.5">
      <c r="B291" s="17">
        <v>175</v>
      </c>
      <c r="C291" s="18" t="s">
        <v>697</v>
      </c>
      <c r="D291" s="19" t="s">
        <v>698</v>
      </c>
      <c r="E291" s="19" t="s">
        <v>699</v>
      </c>
      <c r="F291" s="20">
        <v>0.45</v>
      </c>
      <c r="G291" s="21">
        <v>2</v>
      </c>
      <c r="H291" s="22">
        <f>F291 * G291 * 447.708056</f>
        <v>402.93725039999998</v>
      </c>
      <c r="I291" s="22">
        <f>F291 * G291 * 77.824386</f>
        <v>70.041947400000012</v>
      </c>
      <c r="J291" s="22">
        <f>F291 * G291 * 0</f>
        <v>0</v>
      </c>
      <c r="K291" s="22">
        <f>F291 * G291 * 426.218069</f>
        <v>383.59626210000005</v>
      </c>
      <c r="L291" s="22">
        <f>F291 * G291 * 109.856319</f>
        <v>98.870687099999998</v>
      </c>
      <c r="M291" s="22">
        <f>F291 * G291 * 89.541611</f>
        <v>80.58744990000001</v>
      </c>
      <c r="N291" s="26">
        <f>SUM(H291:M291)</f>
        <v>1036.0335969</v>
      </c>
      <c r="O291" s="29">
        <v>1.5806688589344562E-2</v>
      </c>
    </row>
    <row r="292" spans="2:15" ht="25.5">
      <c r="B292" s="17">
        <v>176</v>
      </c>
      <c r="C292" s="18" t="s">
        <v>700</v>
      </c>
      <c r="D292" s="19" t="s">
        <v>701</v>
      </c>
      <c r="E292" s="19" t="s">
        <v>702</v>
      </c>
      <c r="F292" s="20">
        <v>0.45</v>
      </c>
      <c r="G292" s="21">
        <v>2</v>
      </c>
      <c r="H292" s="22">
        <f>F292 * G292 * 687.046261</f>
        <v>618.34163490000003</v>
      </c>
      <c r="I292" s="22">
        <f>F292 * G292 * 199.057912</f>
        <v>179.15212080000001</v>
      </c>
      <c r="J292" s="22">
        <f>F292 * G292 * 0</f>
        <v>0</v>
      </c>
      <c r="K292" s="22">
        <f>F292 * G292 * 654.068041</f>
        <v>588.66123690000006</v>
      </c>
      <c r="L292" s="22">
        <f>F292 * G292 * 176.984844</f>
        <v>159.28635960000003</v>
      </c>
      <c r="M292" s="22">
        <f>F292 * G292 * 137.409252</f>
        <v>123.66832680000002</v>
      </c>
      <c r="N292" s="26">
        <f>SUM(H292:M292)</f>
        <v>1669.1096790000001</v>
      </c>
      <c r="O292" s="29">
        <v>2.5465483934456246E-2</v>
      </c>
    </row>
    <row r="293" spans="2:15" s="14" customFormat="1" ht="12.75">
      <c r="B293" s="15"/>
      <c r="C293" s="16" t="s">
        <v>703</v>
      </c>
      <c r="D293" s="43" t="s">
        <v>704</v>
      </c>
      <c r="E293" s="43"/>
      <c r="F293" s="43"/>
      <c r="G293" s="43"/>
      <c r="H293" s="43"/>
      <c r="I293" s="43"/>
      <c r="J293" s="43"/>
      <c r="K293" s="43"/>
      <c r="L293" s="43"/>
      <c r="M293" s="43"/>
      <c r="N293" s="44"/>
      <c r="O293" s="28"/>
    </row>
    <row r="294" spans="2:15" s="14" customFormat="1" ht="12.75">
      <c r="B294" s="15"/>
      <c r="C294" s="16" t="s">
        <v>705</v>
      </c>
      <c r="D294" s="45" t="s">
        <v>706</v>
      </c>
      <c r="E294" s="45"/>
      <c r="F294" s="45"/>
      <c r="G294" s="45"/>
      <c r="H294" s="45"/>
      <c r="I294" s="45"/>
      <c r="J294" s="45"/>
      <c r="K294" s="45"/>
      <c r="L294" s="45"/>
      <c r="M294" s="45"/>
      <c r="N294" s="46"/>
      <c r="O294" s="31"/>
    </row>
    <row r="295" spans="2:15">
      <c r="B295" s="17">
        <v>177</v>
      </c>
      <c r="C295" s="18" t="s">
        <v>707</v>
      </c>
      <c r="D295" s="19" t="s">
        <v>708</v>
      </c>
      <c r="E295" s="19" t="s">
        <v>709</v>
      </c>
      <c r="F295" s="20">
        <v>1</v>
      </c>
      <c r="G295" s="21">
        <v>1</v>
      </c>
      <c r="H295" s="22">
        <f>F295 * G295 * 88.840152</f>
        <v>88.840152000000003</v>
      </c>
      <c r="I295" s="22">
        <f>F295 * G295 * 65.693592</f>
        <v>65.693591999999995</v>
      </c>
      <c r="J295" s="22">
        <f>F295 * G295 * 0</f>
        <v>0</v>
      </c>
      <c r="K295" s="22">
        <f>F295 * G295 * 84.575825</f>
        <v>84.575824999999995</v>
      </c>
      <c r="L295" s="22">
        <f>F295 * G295 * 27.100587</f>
        <v>27.100587000000001</v>
      </c>
      <c r="M295" s="22">
        <f>F295 * G295 * 17.76803</f>
        <v>17.76803</v>
      </c>
      <c r="N295" s="26">
        <f>SUM(H295:M295)</f>
        <v>283.97818600000005</v>
      </c>
      <c r="O295" s="29">
        <v>4.3326343524960342E-3</v>
      </c>
    </row>
    <row r="296" spans="2:15" ht="25.5">
      <c r="B296" s="17">
        <v>178</v>
      </c>
      <c r="C296" s="18" t="s">
        <v>710</v>
      </c>
      <c r="D296" s="19" t="s">
        <v>711</v>
      </c>
      <c r="E296" s="19" t="s">
        <v>712</v>
      </c>
      <c r="F296" s="20">
        <v>2.0499999999999998</v>
      </c>
      <c r="G296" s="21">
        <v>1</v>
      </c>
      <c r="H296" s="22">
        <f>F296 * G296 * 4051.110931</f>
        <v>8304.7774085500005</v>
      </c>
      <c r="I296" s="22">
        <f>F296 * G296 * 0.71267</f>
        <v>1.4609734999999999</v>
      </c>
      <c r="J296" s="22">
        <f>F296 * G296 * 0</f>
        <v>0</v>
      </c>
      <c r="K296" s="22">
        <f>F296 * G296 * 3856.65760599999</f>
        <v>7906.148092299979</v>
      </c>
      <c r="L296" s="22">
        <f>F296 * G296 * 919.823208</f>
        <v>1885.6375763999999</v>
      </c>
      <c r="M296" s="22">
        <f>F296 * G296 * 810.222186</f>
        <v>1660.9554812999997</v>
      </c>
      <c r="N296" s="26">
        <f>SUM(H296:M296)</f>
        <v>19758.97953204998</v>
      </c>
      <c r="O296" s="29">
        <v>0.3014613012945499</v>
      </c>
    </row>
    <row r="297" spans="2:15" s="14" customFormat="1" ht="12.75">
      <c r="B297" s="15"/>
      <c r="C297" s="16" t="s">
        <v>713</v>
      </c>
      <c r="D297" s="43" t="s">
        <v>714</v>
      </c>
      <c r="E297" s="43"/>
      <c r="F297" s="43"/>
      <c r="G297" s="43"/>
      <c r="H297" s="43"/>
      <c r="I297" s="43"/>
      <c r="J297" s="43"/>
      <c r="K297" s="43"/>
      <c r="L297" s="43"/>
      <c r="M297" s="43"/>
      <c r="N297" s="44"/>
      <c r="O297" s="28"/>
    </row>
    <row r="298" spans="2:15" ht="25.5">
      <c r="B298" s="17">
        <v>179</v>
      </c>
      <c r="C298" s="18" t="s">
        <v>715</v>
      </c>
      <c r="D298" s="19" t="s">
        <v>716</v>
      </c>
      <c r="E298" s="19" t="s">
        <v>717</v>
      </c>
      <c r="F298" s="20">
        <v>0.96</v>
      </c>
      <c r="G298" s="21">
        <v>2</v>
      </c>
      <c r="H298" s="22">
        <f>F298 * G298 * 218.829361</f>
        <v>420.15237311999999</v>
      </c>
      <c r="I298" s="22">
        <f t="shared" ref="I298:I303" si="12">F298 * G298 * 55.588968</f>
        <v>106.73081856</v>
      </c>
      <c r="J298" s="22">
        <f t="shared" ref="J298:J304" si="13">F298 * G298 * 0</f>
        <v>0</v>
      </c>
      <c r="K298" s="22">
        <f>F298 * G298 * 208.325552</f>
        <v>399.98505983999996</v>
      </c>
      <c r="L298" s="22">
        <f>F298 * G298 * 55.546779</f>
        <v>106.64981568</v>
      </c>
      <c r="M298" s="22">
        <f>F298 * G298 * 43.765872</f>
        <v>84.030474240000004</v>
      </c>
      <c r="N298" s="26">
        <f t="shared" ref="N298:N304" si="14">SUM(H298:M298)</f>
        <v>1117.54854144</v>
      </c>
      <c r="O298" s="29">
        <v>1.7050356118637863E-2</v>
      </c>
    </row>
    <row r="299" spans="2:15" ht="25.5">
      <c r="B299" s="17">
        <v>180</v>
      </c>
      <c r="C299" s="18" t="s">
        <v>718</v>
      </c>
      <c r="D299" s="19" t="s">
        <v>719</v>
      </c>
      <c r="E299" s="19" t="s">
        <v>720</v>
      </c>
      <c r="F299" s="20">
        <v>0.08</v>
      </c>
      <c r="G299" s="21">
        <v>2</v>
      </c>
      <c r="H299" s="22">
        <f>F299 * G299 * 447.708056</f>
        <v>71.633288960000002</v>
      </c>
      <c r="I299" s="22">
        <f t="shared" si="12"/>
        <v>8.8942348800000008</v>
      </c>
      <c r="J299" s="22">
        <f t="shared" si="13"/>
        <v>0</v>
      </c>
      <c r="K299" s="22">
        <f>F299 * G299 * 426.218069</f>
        <v>68.194891040000002</v>
      </c>
      <c r="L299" s="22">
        <f>F299 * G299 * 107.510483</f>
        <v>17.201677279999998</v>
      </c>
      <c r="M299" s="22">
        <f>F299 * G299 * 89.541611</f>
        <v>14.326657760000002</v>
      </c>
      <c r="N299" s="26">
        <f t="shared" si="14"/>
        <v>180.25074991999998</v>
      </c>
      <c r="O299" s="29">
        <v>2.7500724691810075E-3</v>
      </c>
    </row>
    <row r="300" spans="2:15" ht="51">
      <c r="B300" s="17">
        <v>181</v>
      </c>
      <c r="C300" s="18" t="s">
        <v>721</v>
      </c>
      <c r="D300" s="19" t="s">
        <v>722</v>
      </c>
      <c r="E300" s="19" t="s">
        <v>723</v>
      </c>
      <c r="F300" s="20">
        <v>0.96</v>
      </c>
      <c r="G300" s="21">
        <v>2</v>
      </c>
      <c r="H300" s="22">
        <f>F300 * G300 * 276.869389</f>
        <v>531.58922687999996</v>
      </c>
      <c r="I300" s="22">
        <f t="shared" si="12"/>
        <v>106.73081856</v>
      </c>
      <c r="J300" s="22">
        <f t="shared" si="13"/>
        <v>0</v>
      </c>
      <c r="K300" s="22">
        <f>F300 * G300 * 263.579658</f>
        <v>506.07294335999995</v>
      </c>
      <c r="L300" s="22">
        <f>F300 * G300 * 68.7239539999999</f>
        <v>131.94999167999981</v>
      </c>
      <c r="M300" s="22">
        <f>F300 * G300 * 55.373878</f>
        <v>106.31784576</v>
      </c>
      <c r="N300" s="26">
        <f t="shared" si="14"/>
        <v>1382.6608262399996</v>
      </c>
      <c r="O300" s="29">
        <v>2.109515480043939E-2</v>
      </c>
    </row>
    <row r="301" spans="2:15" ht="25.5">
      <c r="B301" s="17">
        <v>182</v>
      </c>
      <c r="C301" s="18" t="s">
        <v>724</v>
      </c>
      <c r="D301" s="19" t="s">
        <v>725</v>
      </c>
      <c r="E301" s="19" t="s">
        <v>726</v>
      </c>
      <c r="F301" s="20">
        <v>0.16600000000000001</v>
      </c>
      <c r="G301" s="21">
        <v>2</v>
      </c>
      <c r="H301" s="22">
        <f>F301 * G301 * 372.645688</f>
        <v>123.718368416</v>
      </c>
      <c r="I301" s="22">
        <f t="shared" si="12"/>
        <v>18.455537376000002</v>
      </c>
      <c r="J301" s="22">
        <f t="shared" si="13"/>
        <v>0</v>
      </c>
      <c r="K301" s="22">
        <f>F301 * G301 * 354.758695</f>
        <v>117.77988674000001</v>
      </c>
      <c r="L301" s="22">
        <f>F301 * G301 * 90.468622</f>
        <v>30.035582504000001</v>
      </c>
      <c r="M301" s="22">
        <f>F301 * G301 * 74.529138</f>
        <v>24.743673816000001</v>
      </c>
      <c r="N301" s="26">
        <f t="shared" si="14"/>
        <v>314.73304885200002</v>
      </c>
      <c r="O301" s="29">
        <v>4.8018590389967046E-3</v>
      </c>
    </row>
    <row r="302" spans="2:15">
      <c r="B302" s="17">
        <v>183</v>
      </c>
      <c r="C302" s="18" t="s">
        <v>727</v>
      </c>
      <c r="D302" s="19" t="s">
        <v>728</v>
      </c>
      <c r="E302" s="19" t="s">
        <v>729</v>
      </c>
      <c r="F302" s="20">
        <v>0.38600000000000001</v>
      </c>
      <c r="G302" s="21">
        <v>2</v>
      </c>
      <c r="H302" s="22">
        <f>F302 * G302 * 311.119157</f>
        <v>240.18398920399997</v>
      </c>
      <c r="I302" s="22">
        <f t="shared" si="12"/>
        <v>42.914683296</v>
      </c>
      <c r="J302" s="22">
        <f t="shared" si="13"/>
        <v>0</v>
      </c>
      <c r="K302" s="22">
        <f>F302 * G302 * 296.185437</f>
        <v>228.65515736399999</v>
      </c>
      <c r="L302" s="22">
        <f>F302 * G302 * 76.4998849999999</f>
        <v>59.05791121999993</v>
      </c>
      <c r="M302" s="22">
        <f>F302 * G302 * 62.223831</f>
        <v>48.036797532000001</v>
      </c>
      <c r="N302" s="26">
        <f t="shared" si="14"/>
        <v>618.84853861599993</v>
      </c>
      <c r="O302" s="29">
        <v>9.4417267578420592E-3</v>
      </c>
    </row>
    <row r="303" spans="2:15" ht="38.25">
      <c r="B303" s="17">
        <v>184</v>
      </c>
      <c r="C303" s="18" t="s">
        <v>730</v>
      </c>
      <c r="D303" s="19" t="s">
        <v>731</v>
      </c>
      <c r="E303" s="19" t="s">
        <v>732</v>
      </c>
      <c r="F303" s="20">
        <v>5.6000000000000001E-2</v>
      </c>
      <c r="G303" s="21">
        <v>2</v>
      </c>
      <c r="H303" s="22">
        <f>F303 * G303 * 584.502043</f>
        <v>65.464228816000002</v>
      </c>
      <c r="I303" s="22">
        <f t="shared" si="12"/>
        <v>6.2259644160000001</v>
      </c>
      <c r="J303" s="22">
        <f t="shared" si="13"/>
        <v>0</v>
      </c>
      <c r="K303" s="22">
        <f>F303 * G303 * 556.445945</f>
        <v>62.321945840000005</v>
      </c>
      <c r="L303" s="22">
        <f>F303 * G303 * 138.567641999999</f>
        <v>15.51957590399989</v>
      </c>
      <c r="M303" s="22">
        <f>F303 * G303 * 116.900409</f>
        <v>13.092845808</v>
      </c>
      <c r="N303" s="26">
        <f t="shared" si="14"/>
        <v>162.62456078399987</v>
      </c>
      <c r="O303" s="29">
        <v>2.4811509945075042E-3</v>
      </c>
    </row>
    <row r="304" spans="2:15">
      <c r="B304" s="17">
        <v>185</v>
      </c>
      <c r="C304" s="18" t="s">
        <v>733</v>
      </c>
      <c r="D304" s="19" t="s">
        <v>734</v>
      </c>
      <c r="E304" s="19" t="s">
        <v>735</v>
      </c>
      <c r="F304" s="20">
        <v>2</v>
      </c>
      <c r="G304" s="21">
        <v>2</v>
      </c>
      <c r="H304" s="22">
        <f>F304 * G304 * 215.342858</f>
        <v>861.37143200000003</v>
      </c>
      <c r="I304" s="22">
        <f>F304 * G304 * 13.576608</f>
        <v>54.306432000000001</v>
      </c>
      <c r="J304" s="22">
        <f t="shared" si="13"/>
        <v>0</v>
      </c>
      <c r="K304" s="22">
        <f>F304 * G304 * 205.006400999999</f>
        <v>820.02560399999595</v>
      </c>
      <c r="L304" s="22">
        <f>F304 * G304 * 50.322913</f>
        <v>201.291652</v>
      </c>
      <c r="M304" s="22">
        <f>F304 * G304 * 43.068572</f>
        <v>172.27428800000001</v>
      </c>
      <c r="N304" s="26">
        <f t="shared" si="14"/>
        <v>2109.269407999996</v>
      </c>
      <c r="O304" s="29">
        <v>3.2180968631758754E-2</v>
      </c>
    </row>
    <row r="305" spans="2:15" s="11" customFormat="1" ht="15">
      <c r="B305" s="12"/>
      <c r="C305" s="13" t="s">
        <v>736</v>
      </c>
      <c r="D305" s="41" t="s">
        <v>737</v>
      </c>
      <c r="E305" s="41"/>
      <c r="F305" s="41"/>
      <c r="G305" s="41"/>
      <c r="H305" s="41"/>
      <c r="I305" s="41"/>
      <c r="J305" s="41"/>
      <c r="K305" s="41"/>
      <c r="L305" s="41"/>
      <c r="M305" s="41"/>
      <c r="N305" s="42"/>
      <c r="O305" s="30"/>
    </row>
    <row r="306" spans="2:15" s="14" customFormat="1" ht="12.75">
      <c r="B306" s="15"/>
      <c r="C306" s="16" t="s">
        <v>738</v>
      </c>
      <c r="D306" s="43" t="s">
        <v>739</v>
      </c>
      <c r="E306" s="43"/>
      <c r="F306" s="43"/>
      <c r="G306" s="43"/>
      <c r="H306" s="43"/>
      <c r="I306" s="43"/>
      <c r="J306" s="43"/>
      <c r="K306" s="43"/>
      <c r="L306" s="43"/>
      <c r="M306" s="43"/>
      <c r="N306" s="44"/>
      <c r="O306" s="28"/>
    </row>
    <row r="307" spans="2:15" ht="25.5">
      <c r="B307" s="17">
        <v>186</v>
      </c>
      <c r="C307" s="18" t="s">
        <v>740</v>
      </c>
      <c r="D307" s="19" t="s">
        <v>741</v>
      </c>
      <c r="E307" s="19" t="s">
        <v>742</v>
      </c>
      <c r="F307" s="20">
        <v>1.8</v>
      </c>
      <c r="G307" s="21">
        <v>123.5</v>
      </c>
      <c r="H307" s="22">
        <f>F307 * G307 * 315.666072</f>
        <v>70172.567805600003</v>
      </c>
      <c r="I307" s="22">
        <f>F307 * G307 * 1.874285</f>
        <v>416.65355550000004</v>
      </c>
      <c r="J307" s="22">
        <f>F307 * G307 * 0</f>
        <v>0</v>
      </c>
      <c r="K307" s="22">
        <f>F307 * G307 * 300.514101</f>
        <v>66804.284652300004</v>
      </c>
      <c r="L307" s="22">
        <f>F307 * G307 * 71.865299</f>
        <v>15975.655967699999</v>
      </c>
      <c r="M307" s="22">
        <f>F307 * G307 * 63.133214</f>
        <v>14034.513472200002</v>
      </c>
      <c r="N307" s="26">
        <f>SUM(H307:M307)</f>
        <v>167403.67545330001</v>
      </c>
      <c r="O307" s="29">
        <v>2.5540655964436105</v>
      </c>
    </row>
    <row r="308" spans="2:15" s="14" customFormat="1" ht="12.75">
      <c r="B308" s="15"/>
      <c r="C308" s="16" t="s">
        <v>743</v>
      </c>
      <c r="D308" s="43" t="s">
        <v>744</v>
      </c>
      <c r="E308" s="43"/>
      <c r="F308" s="43"/>
      <c r="G308" s="43"/>
      <c r="H308" s="43"/>
      <c r="I308" s="43"/>
      <c r="J308" s="43"/>
      <c r="K308" s="43"/>
      <c r="L308" s="43"/>
      <c r="M308" s="43"/>
      <c r="N308" s="44"/>
      <c r="O308" s="28"/>
    </row>
    <row r="309" spans="2:15" s="14" customFormat="1" ht="12.75">
      <c r="B309" s="15"/>
      <c r="C309" s="16" t="s">
        <v>745</v>
      </c>
      <c r="D309" s="45" t="s">
        <v>746</v>
      </c>
      <c r="E309" s="45"/>
      <c r="F309" s="45"/>
      <c r="G309" s="45"/>
      <c r="H309" s="45"/>
      <c r="I309" s="45"/>
      <c r="J309" s="45"/>
      <c r="K309" s="45"/>
      <c r="L309" s="45"/>
      <c r="M309" s="45"/>
      <c r="N309" s="46"/>
      <c r="O309" s="31"/>
    </row>
    <row r="310" spans="2:15" ht="25.5">
      <c r="B310" s="17">
        <v>187</v>
      </c>
      <c r="C310" s="18" t="s">
        <v>747</v>
      </c>
      <c r="D310" s="19" t="s">
        <v>748</v>
      </c>
      <c r="E310" s="19" t="s">
        <v>749</v>
      </c>
      <c r="F310" s="20">
        <v>4.0000000000000001E-3</v>
      </c>
      <c r="G310" s="21">
        <v>2</v>
      </c>
      <c r="H310" s="22">
        <f>F310 * G310 * 220525.830072</f>
        <v>1764.2066405760002</v>
      </c>
      <c r="I310" s="22">
        <f>F310 * G310 * 1300.330426</f>
        <v>10.402643407999999</v>
      </c>
      <c r="J310" s="22">
        <f>F310 * G310 * 0</f>
        <v>0</v>
      </c>
      <c r="K310" s="22">
        <f>F310 * G310 * 209940.590229</f>
        <v>1679.5247218320001</v>
      </c>
      <c r="L310" s="22">
        <f>F310 * G310 * 50204.487216</f>
        <v>401.63589772800003</v>
      </c>
      <c r="M310" s="22">
        <f>F310 * G310 * 44105.166014</f>
        <v>352.84132811200004</v>
      </c>
      <c r="N310" s="26">
        <f>SUM(H310:M310)</f>
        <v>4208.6112316560002</v>
      </c>
      <c r="O310" s="29">
        <v>6.4210472837422192E-2</v>
      </c>
    </row>
    <row r="311" spans="2:15">
      <c r="B311" s="17">
        <v>188</v>
      </c>
      <c r="C311" s="18" t="s">
        <v>750</v>
      </c>
      <c r="D311" s="19" t="s">
        <v>751</v>
      </c>
      <c r="E311" s="19" t="s">
        <v>752</v>
      </c>
      <c r="F311" s="20">
        <v>4.0000000000000001E-3</v>
      </c>
      <c r="G311" s="21">
        <v>123.5</v>
      </c>
      <c r="H311" s="22">
        <f>F311 * G311 * 24257.141928</f>
        <v>11983.028112432001</v>
      </c>
      <c r="I311" s="22">
        <f>F311 * G311 * 145.10592</f>
        <v>71.682324479999991</v>
      </c>
      <c r="J311" s="22">
        <f>F311 * G311 * 0</f>
        <v>0</v>
      </c>
      <c r="K311" s="22">
        <f>F311 * G311 * 23092.799115</f>
        <v>11407.84276281</v>
      </c>
      <c r="L311" s="22">
        <f>F311 * G311 * 5522.55315</f>
        <v>2728.1412560999997</v>
      </c>
      <c r="M311" s="22">
        <f>F311 * G311 * 4851.428386</f>
        <v>2396.6056226839996</v>
      </c>
      <c r="N311" s="26">
        <f>SUM(H311:M311)</f>
        <v>28587.300078506003</v>
      </c>
      <c r="O311" s="29">
        <v>0.43615434026769812</v>
      </c>
    </row>
    <row r="312" spans="2:15">
      <c r="B312" s="17">
        <v>189</v>
      </c>
      <c r="C312" s="18" t="s">
        <v>753</v>
      </c>
      <c r="D312" s="19" t="s">
        <v>754</v>
      </c>
      <c r="E312" s="19" t="s">
        <v>755</v>
      </c>
      <c r="F312" s="20">
        <v>4.0199999999999996</v>
      </c>
      <c r="G312" s="21">
        <v>2</v>
      </c>
      <c r="H312" s="22">
        <f>F312 * G312 * 200.986667</f>
        <v>1615.9328026799999</v>
      </c>
      <c r="I312" s="22">
        <f>F312 * G312 * 36.27648</f>
        <v>291.66289919999997</v>
      </c>
      <c r="J312" s="22">
        <f>F312 * G312 * 26.2218</f>
        <v>210.823272</v>
      </c>
      <c r="K312" s="22">
        <f>F312 * G312 * 191.339307</f>
        <v>1538.3680282799999</v>
      </c>
      <c r="L312" s="22">
        <f>F312 * G312 * 52.224778</f>
        <v>419.88721511999995</v>
      </c>
      <c r="M312" s="22">
        <f>F312 * G312 * 40.197333</f>
        <v>323.18655731999996</v>
      </c>
      <c r="N312" s="26">
        <f>SUM(H312:M312)</f>
        <v>4399.8607745999998</v>
      </c>
      <c r="O312" s="29">
        <v>6.7128353084950562E-2</v>
      </c>
    </row>
    <row r="313" spans="2:15" s="14" customFormat="1" ht="12.75">
      <c r="B313" s="15"/>
      <c r="C313" s="16" t="s">
        <v>756</v>
      </c>
      <c r="D313" s="45" t="s">
        <v>757</v>
      </c>
      <c r="E313" s="45"/>
      <c r="F313" s="45"/>
      <c r="G313" s="45"/>
      <c r="H313" s="45"/>
      <c r="I313" s="45"/>
      <c r="J313" s="45"/>
      <c r="K313" s="45"/>
      <c r="L313" s="45"/>
      <c r="M313" s="45"/>
      <c r="N313" s="46"/>
      <c r="O313" s="31"/>
    </row>
    <row r="314" spans="2:15">
      <c r="B314" s="17">
        <v>190</v>
      </c>
      <c r="C314" s="18" t="s">
        <v>758</v>
      </c>
      <c r="D314" s="19" t="s">
        <v>759</v>
      </c>
      <c r="E314" s="19" t="s">
        <v>760</v>
      </c>
      <c r="F314" s="20">
        <v>0.04</v>
      </c>
      <c r="G314" s="21">
        <v>247</v>
      </c>
      <c r="H314" s="22">
        <f>F314 * G314 * 455.542056</f>
        <v>4500.7555132800007</v>
      </c>
      <c r="I314" s="22">
        <f>F314 * G314 * 604.608</f>
        <v>5973.5270399999999</v>
      </c>
      <c r="J314" s="22">
        <f>F314 * G314 * 0</f>
        <v>0</v>
      </c>
      <c r="K314" s="22">
        <f>F314 * G314 * 433.676036999999</f>
        <v>4284.7192455599907</v>
      </c>
      <c r="L314" s="22">
        <f>F314 * G314 * 167.210591</f>
        <v>1652.0406390800001</v>
      </c>
      <c r="M314" s="22">
        <f>F314 * G314 * 91.108411</f>
        <v>900.15110068000013</v>
      </c>
      <c r="N314" s="26">
        <f>SUM(H314:M314)</f>
        <v>17311.193538599993</v>
      </c>
      <c r="O314" s="29">
        <v>0.26411560995056743</v>
      </c>
    </row>
    <row r="315" spans="2:15" s="14" customFormat="1" ht="12.75">
      <c r="B315" s="15"/>
      <c r="C315" s="16" t="s">
        <v>761</v>
      </c>
      <c r="D315" s="43" t="s">
        <v>762</v>
      </c>
      <c r="E315" s="43"/>
      <c r="F315" s="43"/>
      <c r="G315" s="43"/>
      <c r="H315" s="43"/>
      <c r="I315" s="43"/>
      <c r="J315" s="43"/>
      <c r="K315" s="43"/>
      <c r="L315" s="43"/>
      <c r="M315" s="43"/>
      <c r="N315" s="44"/>
      <c r="O315" s="28"/>
    </row>
    <row r="316" spans="2:15">
      <c r="B316" s="17">
        <v>191</v>
      </c>
      <c r="C316" s="18" t="s">
        <v>763</v>
      </c>
      <c r="D316" s="19" t="s">
        <v>764</v>
      </c>
      <c r="E316" s="19" t="s">
        <v>765</v>
      </c>
      <c r="F316" s="20">
        <v>0.02</v>
      </c>
      <c r="G316" s="21">
        <v>1</v>
      </c>
      <c r="H316" s="22">
        <f>F316 * G316 * 32662.93248</f>
        <v>653.25864960000001</v>
      </c>
      <c r="I316" s="22">
        <f>F316 * G316 * 0</f>
        <v>0</v>
      </c>
      <c r="J316" s="22">
        <f>F316 * G316 * 427690.9296</f>
        <v>8553.8185919999996</v>
      </c>
      <c r="K316" s="22">
        <f>F316 * G316 * 129693.4229</f>
        <v>2593.8684580000004</v>
      </c>
      <c r="L316" s="22">
        <f>F316 * G316 * 65124.496153</f>
        <v>1302.4899230600001</v>
      </c>
      <c r="M316" s="22">
        <f>F316 * G316 * 27246.517416</f>
        <v>544.93034832000001</v>
      </c>
      <c r="N316" s="26">
        <f>SUM(H316:M316)</f>
        <v>13648.365970980001</v>
      </c>
      <c r="O316" s="29">
        <v>0.20823211843921641</v>
      </c>
    </row>
    <row r="317" spans="2:15">
      <c r="B317" s="17">
        <v>192</v>
      </c>
      <c r="C317" s="18" t="s">
        <v>766</v>
      </c>
      <c r="D317" s="19" t="s">
        <v>767</v>
      </c>
      <c r="E317" s="19" t="s">
        <v>768</v>
      </c>
      <c r="F317" s="20">
        <v>0.02</v>
      </c>
      <c r="G317" s="21">
        <v>1</v>
      </c>
      <c r="H317" s="22">
        <f>F317 * G317 * 39348.626472</f>
        <v>786.97252944000013</v>
      </c>
      <c r="I317" s="22">
        <f>F317 * G317 * 0</f>
        <v>0</v>
      </c>
      <c r="J317" s="22">
        <f>F317 * G317 * 0</f>
        <v>0</v>
      </c>
      <c r="K317" s="22">
        <f>F317 * G317 * 37459.892402</f>
        <v>749.19784803999994</v>
      </c>
      <c r="L317" s="22">
        <f>F317 * G317 * 8933.55475999999</f>
        <v>178.6710951999998</v>
      </c>
      <c r="M317" s="22">
        <f>F317 * G317 * 7869.725294</f>
        <v>157.39450588</v>
      </c>
      <c r="N317" s="26">
        <f>SUM(H317:M317)</f>
        <v>1872.2359785599999</v>
      </c>
      <c r="O317" s="29">
        <v>2.8564566986451847E-2</v>
      </c>
    </row>
    <row r="318" spans="2:15" s="14" customFormat="1" ht="12.75">
      <c r="B318" s="15"/>
      <c r="C318" s="16" t="s">
        <v>769</v>
      </c>
      <c r="D318" s="43" t="s">
        <v>770</v>
      </c>
      <c r="E318" s="43"/>
      <c r="F318" s="43"/>
      <c r="G318" s="43"/>
      <c r="H318" s="43"/>
      <c r="I318" s="43"/>
      <c r="J318" s="43"/>
      <c r="K318" s="43"/>
      <c r="L318" s="43"/>
      <c r="M318" s="43"/>
      <c r="N318" s="44"/>
      <c r="O318" s="28"/>
    </row>
    <row r="319" spans="2:15" s="14" customFormat="1" ht="12.75">
      <c r="B319" s="15"/>
      <c r="C319" s="16" t="s">
        <v>771</v>
      </c>
      <c r="D319" s="45" t="s">
        <v>772</v>
      </c>
      <c r="E319" s="45"/>
      <c r="F319" s="45"/>
      <c r="G319" s="45"/>
      <c r="H319" s="45"/>
      <c r="I319" s="45"/>
      <c r="J319" s="45"/>
      <c r="K319" s="45"/>
      <c r="L319" s="45"/>
      <c r="M319" s="45"/>
      <c r="N319" s="46"/>
      <c r="O319" s="31"/>
    </row>
    <row r="320" spans="2:15">
      <c r="B320" s="17">
        <v>193</v>
      </c>
      <c r="C320" s="18" t="s">
        <v>773</v>
      </c>
      <c r="D320" s="19" t="s">
        <v>774</v>
      </c>
      <c r="E320" s="19" t="s">
        <v>775</v>
      </c>
      <c r="F320" s="20">
        <v>2</v>
      </c>
      <c r="G320" s="21">
        <v>1</v>
      </c>
      <c r="H320" s="22">
        <f>F320 * G320 * 86.395555</f>
        <v>172.79111</v>
      </c>
      <c r="I320" s="22">
        <f>F320 * G320 * 31.509672</f>
        <v>63.019343999999997</v>
      </c>
      <c r="J320" s="22">
        <f>F320 * G320 * 0</f>
        <v>0</v>
      </c>
      <c r="K320" s="22">
        <f>F320 * G320 * 82.248569</f>
        <v>164.49713800000001</v>
      </c>
      <c r="L320" s="22">
        <f>F320 * G320 * 22.939172</f>
        <v>45.878343999999998</v>
      </c>
      <c r="M320" s="22">
        <f>F320 * G320 * 17.279111</f>
        <v>34.558222000000001</v>
      </c>
      <c r="N320" s="26">
        <f>SUM(H320:M320)</f>
        <v>480.74415799999997</v>
      </c>
      <c r="O320" s="29">
        <v>7.3346783534724768E-3</v>
      </c>
    </row>
    <row r="321" spans="2:15">
      <c r="B321" s="17">
        <v>194</v>
      </c>
      <c r="C321" s="18" t="s">
        <v>776</v>
      </c>
      <c r="D321" s="19" t="s">
        <v>777</v>
      </c>
      <c r="E321" s="19" t="s">
        <v>778</v>
      </c>
      <c r="F321" s="20">
        <v>2</v>
      </c>
      <c r="G321" s="21">
        <v>1</v>
      </c>
      <c r="H321" s="22">
        <f>F321 * G321 * 123.668327</f>
        <v>247.33665400000001</v>
      </c>
      <c r="I321" s="22">
        <f>F321 * G321 * 46.331865</f>
        <v>92.663730000000001</v>
      </c>
      <c r="J321" s="22">
        <f>F321 * G321 * 0</f>
        <v>0</v>
      </c>
      <c r="K321" s="22">
        <f>F321 * G321 * 117.732248</f>
        <v>235.464496</v>
      </c>
      <c r="L321" s="22">
        <f>F321 * G321 * 32.965175</f>
        <v>65.930350000000004</v>
      </c>
      <c r="M321" s="22">
        <f>F321 * G321 * 24.733665</f>
        <v>49.467329999999997</v>
      </c>
      <c r="N321" s="26">
        <f>SUM(H321:M321)</f>
        <v>690.86255999999992</v>
      </c>
      <c r="O321" s="29">
        <v>1.0540439399487365E-2</v>
      </c>
    </row>
    <row r="322" spans="2:15" ht="25.5">
      <c r="B322" s="17">
        <v>195</v>
      </c>
      <c r="C322" s="18" t="s">
        <v>779</v>
      </c>
      <c r="D322" s="19" t="s">
        <v>780</v>
      </c>
      <c r="E322" s="19" t="s">
        <v>781</v>
      </c>
      <c r="F322" s="20">
        <v>2</v>
      </c>
      <c r="G322" s="21">
        <v>1</v>
      </c>
      <c r="H322" s="22">
        <f>F322 * G322 * 266.614967</f>
        <v>533.22993399999996</v>
      </c>
      <c r="I322" s="22">
        <f>F322 * G322 * 27.800275</f>
        <v>55.600549999999998</v>
      </c>
      <c r="J322" s="22">
        <f>F322 * G322 * 0</f>
        <v>0</v>
      </c>
      <c r="K322" s="22">
        <f>F322 * G322 * 253.817449</f>
        <v>507.63489800000002</v>
      </c>
      <c r="L322" s="22">
        <f>F322 * G322 * 63.464124</f>
        <v>126.928248</v>
      </c>
      <c r="M322" s="22">
        <f>F322 * G322 * 53.322993</f>
        <v>106.64598599999999</v>
      </c>
      <c r="N322" s="26">
        <f>SUM(H322:M322)</f>
        <v>1330.0396159999998</v>
      </c>
      <c r="O322" s="29">
        <v>2.0292316855852553E-2</v>
      </c>
    </row>
    <row r="323" spans="2:15" s="14" customFormat="1" ht="12.75">
      <c r="B323" s="15"/>
      <c r="C323" s="16" t="s">
        <v>782</v>
      </c>
      <c r="D323" s="45" t="s">
        <v>783</v>
      </c>
      <c r="E323" s="45"/>
      <c r="F323" s="45"/>
      <c r="G323" s="45"/>
      <c r="H323" s="45"/>
      <c r="I323" s="45"/>
      <c r="J323" s="45"/>
      <c r="K323" s="45"/>
      <c r="L323" s="45"/>
      <c r="M323" s="45"/>
      <c r="N323" s="46"/>
      <c r="O323" s="31"/>
    </row>
    <row r="324" spans="2:15">
      <c r="B324" s="17">
        <v>196</v>
      </c>
      <c r="C324" s="18" t="s">
        <v>784</v>
      </c>
      <c r="D324" s="19" t="s">
        <v>785</v>
      </c>
      <c r="E324" s="19" t="s">
        <v>775</v>
      </c>
      <c r="F324" s="20">
        <v>2</v>
      </c>
      <c r="G324" s="21">
        <v>1</v>
      </c>
      <c r="H324" s="22">
        <f>F324 * G324 * 635.774152</f>
        <v>1271.5483039999999</v>
      </c>
      <c r="I324" s="22">
        <f>F324 * G324 * 1391.551504</f>
        <v>2783.103008</v>
      </c>
      <c r="J324" s="22">
        <f>F324 * G324 * 8.67416</f>
        <v>17.348320000000001</v>
      </c>
      <c r="K324" s="22">
        <f>F324 * G324 * 605.256993</f>
        <v>1210.5139859999999</v>
      </c>
      <c r="L324" s="22">
        <f>F324 * G324 * 292.067428</f>
        <v>584.13485600000001</v>
      </c>
      <c r="M324" s="22">
        <f>F324 * G324 * 127.15483</f>
        <v>254.30966000000001</v>
      </c>
      <c r="N324" s="26">
        <f>SUM(H324:M324)</f>
        <v>6120.9581339999995</v>
      </c>
      <c r="O324" s="29">
        <v>9.3387009245697539E-2</v>
      </c>
    </row>
    <row r="325" spans="2:15">
      <c r="B325" s="17">
        <v>197</v>
      </c>
      <c r="C325" s="18" t="s">
        <v>786</v>
      </c>
      <c r="D325" s="19" t="s">
        <v>787</v>
      </c>
      <c r="E325" s="19" t="s">
        <v>778</v>
      </c>
      <c r="F325" s="20">
        <v>2</v>
      </c>
      <c r="G325" s="21">
        <v>1</v>
      </c>
      <c r="H325" s="22">
        <f>F325 * G325 * 430.685716</f>
        <v>861.37143200000003</v>
      </c>
      <c r="I325" s="22">
        <f>F325 * G325 * 312.588741</f>
        <v>625.17748200000005</v>
      </c>
      <c r="J325" s="22">
        <f>F325 * G325 * 0</f>
        <v>0</v>
      </c>
      <c r="K325" s="22">
        <f>F325 * G325 * 410.012800999999</f>
        <v>820.025601999998</v>
      </c>
      <c r="L325" s="22">
        <f>F325 * G325 * 130.759274</f>
        <v>261.51854800000001</v>
      </c>
      <c r="M325" s="22">
        <f>F325 * G325 * 86.137143</f>
        <v>172.27428599999999</v>
      </c>
      <c r="N325" s="26">
        <f>SUM(H325:M325)</f>
        <v>2740.3673499999977</v>
      </c>
      <c r="O325" s="29">
        <v>4.1809583638471835E-2</v>
      </c>
    </row>
    <row r="326" spans="2:15" ht="25.5">
      <c r="B326" s="17">
        <v>198</v>
      </c>
      <c r="C326" s="18" t="s">
        <v>788</v>
      </c>
      <c r="D326" s="19" t="s">
        <v>789</v>
      </c>
      <c r="E326" s="19" t="s">
        <v>790</v>
      </c>
      <c r="F326" s="20">
        <v>2</v>
      </c>
      <c r="G326" s="21">
        <v>1</v>
      </c>
      <c r="H326" s="22">
        <f>F326 * G326 * 205.088436</f>
        <v>410.176872</v>
      </c>
      <c r="I326" s="22">
        <f>F326 * G326 * 2406.914785</f>
        <v>4813.8295699999999</v>
      </c>
      <c r="J326" s="22">
        <f>F326 * G326 * 3.15084</f>
        <v>6.3016800000000002</v>
      </c>
      <c r="K326" s="22">
        <f>F326 * G326 * 195.244191</f>
        <v>390.488382</v>
      </c>
      <c r="L326" s="22">
        <f>F326 * G326 * 300.824381999999</f>
        <v>601.64876399999798</v>
      </c>
      <c r="M326" s="22">
        <f>F326 * G326 * 41.017687</f>
        <v>82.035374000000004</v>
      </c>
      <c r="N326" s="26">
        <f>SUM(H326:M326)</f>
        <v>6304.4806419999977</v>
      </c>
      <c r="O326" s="29">
        <v>9.6186998687904271E-2</v>
      </c>
    </row>
    <row r="327" spans="2:15">
      <c r="B327" s="17">
        <v>199</v>
      </c>
      <c r="C327" s="18" t="s">
        <v>791</v>
      </c>
      <c r="D327" s="19" t="s">
        <v>792</v>
      </c>
      <c r="E327" s="19" t="s">
        <v>778</v>
      </c>
      <c r="F327" s="20">
        <v>2</v>
      </c>
      <c r="G327" s="21">
        <v>1</v>
      </c>
      <c r="H327" s="22">
        <f>F327 * G327 * 21.124109</f>
        <v>42.248218000000001</v>
      </c>
      <c r="I327" s="22">
        <f>F327 * G327 * 934.95778</f>
        <v>1869.9155599999999</v>
      </c>
      <c r="J327" s="22">
        <f>F327 * G327 * 0</f>
        <v>0</v>
      </c>
      <c r="K327" s="22">
        <f>F327 * G327 * 20.110152</f>
        <v>40.220303999999999</v>
      </c>
      <c r="L327" s="22">
        <f>F327 * G327 * 103.433979</f>
        <v>206.86795799999999</v>
      </c>
      <c r="M327" s="22">
        <f>F327 * G327 * 4.224822</f>
        <v>8.4496439999999993</v>
      </c>
      <c r="N327" s="26">
        <f>SUM(H327:M327)</f>
        <v>2167.7016839999997</v>
      </c>
      <c r="O327" s="29">
        <v>3.3072465580373488E-2</v>
      </c>
    </row>
    <row r="328" spans="2:15" s="14" customFormat="1" ht="12.75">
      <c r="B328" s="15"/>
      <c r="C328" s="16" t="s">
        <v>793</v>
      </c>
      <c r="D328" s="43" t="s">
        <v>794</v>
      </c>
      <c r="E328" s="43"/>
      <c r="F328" s="43"/>
      <c r="G328" s="43"/>
      <c r="H328" s="43"/>
      <c r="I328" s="43"/>
      <c r="J328" s="43"/>
      <c r="K328" s="43"/>
      <c r="L328" s="43"/>
      <c r="M328" s="43"/>
      <c r="N328" s="44"/>
      <c r="O328" s="28"/>
    </row>
    <row r="329" spans="2:15" ht="38.25">
      <c r="B329" s="17">
        <v>200</v>
      </c>
      <c r="C329" s="18" t="s">
        <v>795</v>
      </c>
      <c r="D329" s="19" t="s">
        <v>796</v>
      </c>
      <c r="E329" s="19" t="s">
        <v>797</v>
      </c>
      <c r="F329" s="20">
        <v>0.18</v>
      </c>
      <c r="G329" s="21">
        <v>4</v>
      </c>
      <c r="H329" s="22">
        <f>F329 * G329 * 5041.206072</f>
        <v>3629.66837184</v>
      </c>
      <c r="I329" s="22">
        <f>F329 * G329 * 0</f>
        <v>0</v>
      </c>
      <c r="J329" s="22">
        <f>F329 * G329 * 0</f>
        <v>0</v>
      </c>
      <c r="K329" s="22">
        <f>F329 * G329 * 4799.228181</f>
        <v>3455.4442903200002</v>
      </c>
      <c r="L329" s="22">
        <f>F329 * G329 * 1144.535261</f>
        <v>824.06538791999992</v>
      </c>
      <c r="M329" s="22">
        <f>F329 * G329 * 1008.241214</f>
        <v>725.93367407999995</v>
      </c>
      <c r="N329" s="26">
        <f>SUM(H329:M329)</f>
        <v>8635.1117241600004</v>
      </c>
      <c r="O329" s="29">
        <v>0.13174526614426951</v>
      </c>
    </row>
    <row r="330" spans="2:15" s="14" customFormat="1" ht="12.75">
      <c r="B330" s="15"/>
      <c r="C330" s="16" t="s">
        <v>798</v>
      </c>
      <c r="D330" s="43" t="s">
        <v>799</v>
      </c>
      <c r="E330" s="43"/>
      <c r="F330" s="43"/>
      <c r="G330" s="43"/>
      <c r="H330" s="43"/>
      <c r="I330" s="43"/>
      <c r="J330" s="43"/>
      <c r="K330" s="43"/>
      <c r="L330" s="43"/>
      <c r="M330" s="43"/>
      <c r="N330" s="44"/>
      <c r="O330" s="28"/>
    </row>
    <row r="331" spans="2:15" ht="38.25">
      <c r="B331" s="17">
        <v>201</v>
      </c>
      <c r="C331" s="18" t="s">
        <v>800</v>
      </c>
      <c r="D331" s="19" t="s">
        <v>801</v>
      </c>
      <c r="E331" s="19" t="s">
        <v>797</v>
      </c>
      <c r="F331" s="20">
        <v>0.18</v>
      </c>
      <c r="G331" s="21">
        <v>4</v>
      </c>
      <c r="H331" s="22">
        <f>F331 * G331 * 22366.925928</f>
        <v>16104.18666816</v>
      </c>
      <c r="I331" s="22">
        <f>F331 * G331 * 0</f>
        <v>0</v>
      </c>
      <c r="J331" s="22">
        <f>F331 * G331 * 0</f>
        <v>0</v>
      </c>
      <c r="K331" s="22">
        <f>F331 * G331 * 21293.3134829999</f>
        <v>15331.185707759927</v>
      </c>
      <c r="L331" s="22">
        <f>F331 * G331 * 5078.097395</f>
        <v>3656.2301243999996</v>
      </c>
      <c r="M331" s="22">
        <f>F331 * G331 * 4473.385186</f>
        <v>3220.8373339200002</v>
      </c>
      <c r="N331" s="26">
        <f>SUM(H331:M331)</f>
        <v>38312.439834239922</v>
      </c>
      <c r="O331" s="29">
        <v>0.58453008413035401</v>
      </c>
    </row>
    <row r="332" spans="2:15" s="14" customFormat="1" ht="12.75">
      <c r="B332" s="15"/>
      <c r="C332" s="16" t="s">
        <v>802</v>
      </c>
      <c r="D332" s="43" t="s">
        <v>803</v>
      </c>
      <c r="E332" s="43"/>
      <c r="F332" s="43"/>
      <c r="G332" s="43"/>
      <c r="H332" s="43"/>
      <c r="I332" s="43"/>
      <c r="J332" s="43"/>
      <c r="K332" s="43"/>
      <c r="L332" s="43"/>
      <c r="M332" s="43"/>
      <c r="N332" s="44"/>
      <c r="O332" s="28"/>
    </row>
    <row r="333" spans="2:15" ht="38.25">
      <c r="B333" s="17">
        <v>202</v>
      </c>
      <c r="C333" s="18" t="s">
        <v>804</v>
      </c>
      <c r="D333" s="19" t="s">
        <v>805</v>
      </c>
      <c r="E333" s="19" t="s">
        <v>797</v>
      </c>
      <c r="F333" s="20">
        <v>0.18</v>
      </c>
      <c r="G333" s="21">
        <v>6</v>
      </c>
      <c r="H333" s="22">
        <f>F333 * G333 * 141136.758072</f>
        <v>152427.69871776001</v>
      </c>
      <c r="I333" s="22">
        <f>F333 * G333 * 0</f>
        <v>0</v>
      </c>
      <c r="J333" s="22">
        <f>F333 * G333 * 0</f>
        <v>0</v>
      </c>
      <c r="K333" s="22">
        <f>F333 * G333 * 134362.193685</f>
        <v>145111.16917980002</v>
      </c>
      <c r="L333" s="22">
        <f>F333 * G333 * 32043.125006</f>
        <v>34606.575006480001</v>
      </c>
      <c r="M333" s="22">
        <f>F333 * G333 * 28227.351614</f>
        <v>30485.53974312</v>
      </c>
      <c r="N333" s="26">
        <f>SUM(H333:M333)</f>
        <v>362630.98264716001</v>
      </c>
      <c r="O333" s="29">
        <v>5.5326343013419992</v>
      </c>
    </row>
    <row r="334" spans="2:15">
      <c r="B334" s="17">
        <v>203</v>
      </c>
      <c r="C334" s="18" t="s">
        <v>806</v>
      </c>
      <c r="D334" s="19" t="s">
        <v>807</v>
      </c>
      <c r="E334" s="19" t="s">
        <v>808</v>
      </c>
      <c r="F334" s="20">
        <v>2</v>
      </c>
      <c r="G334" s="21">
        <v>1</v>
      </c>
      <c r="H334" s="22">
        <f>F334 * G334 * 157.454993</f>
        <v>314.909986</v>
      </c>
      <c r="I334" s="22">
        <f>F334 * G334 * 0</f>
        <v>0</v>
      </c>
      <c r="J334" s="22">
        <f>F334 * G334 * 0</f>
        <v>0</v>
      </c>
      <c r="K334" s="22">
        <f>F334 * G334 * 149.897153</f>
        <v>299.79430600000001</v>
      </c>
      <c r="L334" s="22">
        <f>F334 * G334 * 35.747952</f>
        <v>71.495903999999996</v>
      </c>
      <c r="M334" s="22">
        <f>F334 * G334 * 31.490999</f>
        <v>62.981997999999997</v>
      </c>
      <c r="N334" s="26">
        <f>SUM(H334:M334)</f>
        <v>749.18219399999998</v>
      </c>
      <c r="O334" s="29">
        <v>1.1430217777370926E-2</v>
      </c>
    </row>
    <row r="335" spans="2:15">
      <c r="B335" s="17">
        <v>204</v>
      </c>
      <c r="C335" s="18" t="s">
        <v>809</v>
      </c>
      <c r="D335" s="19" t="s">
        <v>810</v>
      </c>
      <c r="E335" s="19" t="s">
        <v>93</v>
      </c>
      <c r="F335" s="20">
        <v>0.9</v>
      </c>
      <c r="G335" s="21">
        <v>13</v>
      </c>
      <c r="H335" s="22">
        <f>F335 * G335 * 47.2554</f>
        <v>552.88818000000003</v>
      </c>
      <c r="I335" s="22">
        <f>F335 * G335 * 82.29888</f>
        <v>962.89689600000008</v>
      </c>
      <c r="J335" s="22">
        <f>F335 * G335 * 0</f>
        <v>0</v>
      </c>
      <c r="K335" s="22">
        <f>F335 * G335 * 44.987141</f>
        <v>526.34954970000001</v>
      </c>
      <c r="L335" s="22">
        <f>F335 * G335 * 19.411209</f>
        <v>227.1111453</v>
      </c>
      <c r="M335" s="22">
        <f>F335 * G335 * 9.45108</f>
        <v>110.577636</v>
      </c>
      <c r="N335" s="26">
        <f>SUM(H335:M335)</f>
        <v>2379.8234069999999</v>
      </c>
      <c r="O335" s="29">
        <v>3.630879114793116E-2</v>
      </c>
    </row>
    <row r="336" spans="2:15" ht="25.5">
      <c r="B336" s="17">
        <v>205</v>
      </c>
      <c r="C336" s="18" t="s">
        <v>811</v>
      </c>
      <c r="D336" s="19" t="s">
        <v>812</v>
      </c>
      <c r="E336" s="19" t="s">
        <v>813</v>
      </c>
      <c r="F336" s="20">
        <v>2</v>
      </c>
      <c r="G336" s="21">
        <v>1</v>
      </c>
      <c r="H336" s="22">
        <f>F336 * G336 * 200.362896</f>
        <v>400.72579200000001</v>
      </c>
      <c r="I336" s="22">
        <f>F336 * G336 * 0</f>
        <v>0</v>
      </c>
      <c r="J336" s="22">
        <f>F336 * G336 * 0</f>
        <v>0</v>
      </c>
      <c r="K336" s="22">
        <f>F336 * G336 * 190.745477</f>
        <v>381.49095399999999</v>
      </c>
      <c r="L336" s="22">
        <f>F336 * G336 * 45.489591</f>
        <v>90.979181999999994</v>
      </c>
      <c r="M336" s="22">
        <f>F336 * G336 * 40.072579</f>
        <v>80.145157999999995</v>
      </c>
      <c r="N336" s="26">
        <f>SUM(H336:M336)</f>
        <v>953.34108600000013</v>
      </c>
      <c r="O336" s="29">
        <v>1.4545055016477482E-2</v>
      </c>
    </row>
    <row r="337" spans="2:15">
      <c r="B337" s="17">
        <v>206</v>
      </c>
      <c r="C337" s="18" t="s">
        <v>814</v>
      </c>
      <c r="D337" s="19" t="s">
        <v>815</v>
      </c>
      <c r="E337" s="19" t="s">
        <v>816</v>
      </c>
      <c r="F337" s="20">
        <v>12</v>
      </c>
      <c r="G337" s="21">
        <v>2</v>
      </c>
      <c r="H337" s="22">
        <f>F337 * G337 * 19.280203</f>
        <v>462.724872</v>
      </c>
      <c r="I337" s="22">
        <f>F337 * G337 * 0</f>
        <v>0</v>
      </c>
      <c r="J337" s="22">
        <f>F337 * G337 * 0</f>
        <v>0</v>
      </c>
      <c r="K337" s="22">
        <f>F337 * G337 * 18.354753</f>
        <v>440.51407199999994</v>
      </c>
      <c r="L337" s="22">
        <f>F337 * G337 * 4.3773</f>
        <v>105.0552</v>
      </c>
      <c r="M337" s="22">
        <f>F337 * G337 * 3.856041</f>
        <v>92.544983999999999</v>
      </c>
      <c r="N337" s="26">
        <f>SUM(H337:M337)</f>
        <v>1100.8391280000001</v>
      </c>
      <c r="O337" s="29">
        <v>1.6795421823507874E-2</v>
      </c>
    </row>
    <row r="338" spans="2:15" s="14" customFormat="1" ht="12.75">
      <c r="B338" s="15"/>
      <c r="C338" s="16" t="s">
        <v>817</v>
      </c>
      <c r="D338" s="43" t="s">
        <v>818</v>
      </c>
      <c r="E338" s="43"/>
      <c r="F338" s="43"/>
      <c r="G338" s="43"/>
      <c r="H338" s="43"/>
      <c r="I338" s="43"/>
      <c r="J338" s="43"/>
      <c r="K338" s="43"/>
      <c r="L338" s="43"/>
      <c r="M338" s="43"/>
      <c r="N338" s="44"/>
      <c r="O338" s="28"/>
    </row>
    <row r="339" spans="2:15" ht="25.5">
      <c r="B339" s="17">
        <v>207</v>
      </c>
      <c r="C339" s="18" t="s">
        <v>819</v>
      </c>
      <c r="D339" s="19" t="s">
        <v>820</v>
      </c>
      <c r="E339" s="19" t="s">
        <v>821</v>
      </c>
      <c r="F339" s="20">
        <v>17.899999999999999</v>
      </c>
      <c r="G339" s="21">
        <v>1</v>
      </c>
      <c r="H339" s="22">
        <f>F339 * G339 * 737.18424</f>
        <v>13195.597895999999</v>
      </c>
      <c r="I339" s="22">
        <f>F339 * G339 * 0</f>
        <v>0</v>
      </c>
      <c r="J339" s="22">
        <f>F339 * G339 * 0</f>
        <v>0</v>
      </c>
      <c r="K339" s="22">
        <f>F339 * G339 * 701.799396</f>
        <v>12562.209188399998</v>
      </c>
      <c r="L339" s="22">
        <f>F339 * G339 * 167.367361</f>
        <v>2995.8757618999994</v>
      </c>
      <c r="M339" s="22">
        <f>F339 * G339 * 147.436848</f>
        <v>2639.1195791999999</v>
      </c>
      <c r="N339" s="26">
        <f>SUM(H339:M339)</f>
        <v>31392.802425499995</v>
      </c>
      <c r="O339" s="29">
        <v>0.4789576837773098</v>
      </c>
    </row>
    <row r="340" spans="2:15" ht="25.5">
      <c r="B340" s="17">
        <v>208</v>
      </c>
      <c r="C340" s="18" t="s">
        <v>822</v>
      </c>
      <c r="D340" s="19" t="s">
        <v>823</v>
      </c>
      <c r="E340" s="19" t="s">
        <v>821</v>
      </c>
      <c r="F340" s="20">
        <v>17.899999999999999</v>
      </c>
      <c r="G340" s="21">
        <v>1</v>
      </c>
      <c r="H340" s="22">
        <f>F340 * G340 * 94.5108</f>
        <v>1691.7433199999998</v>
      </c>
      <c r="I340" s="22">
        <f>F340 * G340 * 0</f>
        <v>0</v>
      </c>
      <c r="J340" s="22">
        <f>F340 * G340 * 0</f>
        <v>0</v>
      </c>
      <c r="K340" s="22">
        <f>F340 * G340 * 89.974282</f>
        <v>1610.5396478</v>
      </c>
      <c r="L340" s="22">
        <f>F340 * G340 * 21.457354</f>
        <v>384.08663659999996</v>
      </c>
      <c r="M340" s="22">
        <f>F340 * G340 * 18.90216</f>
        <v>338.34866399999993</v>
      </c>
      <c r="N340" s="26">
        <f>SUM(H340:M340)</f>
        <v>4024.7182683999999</v>
      </c>
      <c r="O340" s="29">
        <v>6.1404831386549487E-2</v>
      </c>
    </row>
    <row r="341" spans="2:15">
      <c r="B341" s="17">
        <v>209</v>
      </c>
      <c r="C341" s="18" t="s">
        <v>824</v>
      </c>
      <c r="D341" s="19" t="s">
        <v>825</v>
      </c>
      <c r="E341" s="19" t="s">
        <v>826</v>
      </c>
      <c r="F341" s="20">
        <v>17.899999999999999</v>
      </c>
      <c r="G341" s="21">
        <v>1</v>
      </c>
      <c r="H341" s="22">
        <f>F341 * G341 * 226.82592</f>
        <v>4060.1839679999998</v>
      </c>
      <c r="I341" s="22">
        <f>F341 * G341 * 0</f>
        <v>0</v>
      </c>
      <c r="J341" s="22">
        <f>F341 * G341 * 0</f>
        <v>0</v>
      </c>
      <c r="K341" s="22">
        <f>F341 * G341 * 215.938276</f>
        <v>3865.2951403999996</v>
      </c>
      <c r="L341" s="22">
        <f>F341 * G341 * 51.49765</f>
        <v>921.80793499999993</v>
      </c>
      <c r="M341" s="22">
        <f>F341 * G341 * 45.365184</f>
        <v>812.0367935999999</v>
      </c>
      <c r="N341" s="26">
        <f>SUM(H341:M341)</f>
        <v>9659.3238369999999</v>
      </c>
      <c r="O341" s="29">
        <v>0.14737159521847917</v>
      </c>
    </row>
    <row r="342" spans="2:15" s="14" customFormat="1" ht="12.75">
      <c r="B342" s="15"/>
      <c r="C342" s="16" t="s">
        <v>827</v>
      </c>
      <c r="D342" s="43" t="s">
        <v>828</v>
      </c>
      <c r="E342" s="43"/>
      <c r="F342" s="43"/>
      <c r="G342" s="43"/>
      <c r="H342" s="43"/>
      <c r="I342" s="43"/>
      <c r="J342" s="43"/>
      <c r="K342" s="43"/>
      <c r="L342" s="43"/>
      <c r="M342" s="43"/>
      <c r="N342" s="44"/>
      <c r="O342" s="28"/>
    </row>
    <row r="343" spans="2:15" ht="25.5">
      <c r="B343" s="17">
        <v>210</v>
      </c>
      <c r="C343" s="18" t="s">
        <v>829</v>
      </c>
      <c r="D343" s="19" t="s">
        <v>830</v>
      </c>
      <c r="E343" s="19" t="s">
        <v>831</v>
      </c>
      <c r="F343" s="20">
        <v>1.8</v>
      </c>
      <c r="G343" s="21">
        <v>2</v>
      </c>
      <c r="H343" s="22">
        <f>F343 * G343 * 0</f>
        <v>0</v>
      </c>
      <c r="I343" s="22">
        <f>F343 * G343 * 0</f>
        <v>0</v>
      </c>
      <c r="J343" s="22">
        <f>F343 * G343 * 100.65264</f>
        <v>362.34950400000002</v>
      </c>
      <c r="K343" s="22">
        <f>F343 * G343 * 43.408555</f>
        <v>156.27079800000001</v>
      </c>
      <c r="L343" s="22">
        <f>F343 * G343 * 16.160557</f>
        <v>58.178005200000001</v>
      </c>
      <c r="M343" s="22">
        <f>F343 * G343 * 9.119444</f>
        <v>32.829998400000001</v>
      </c>
      <c r="N343" s="26">
        <f t="shared" ref="N343:N352" si="15">SUM(H343:M343)</f>
        <v>609.62830560000009</v>
      </c>
      <c r="O343" s="29">
        <v>9.3010543390699401E-3</v>
      </c>
    </row>
    <row r="344" spans="2:15" ht="25.5">
      <c r="B344" s="17">
        <v>211</v>
      </c>
      <c r="C344" s="18" t="s">
        <v>832</v>
      </c>
      <c r="D344" s="19" t="s">
        <v>833</v>
      </c>
      <c r="E344" s="19" t="s">
        <v>834</v>
      </c>
      <c r="F344" s="20">
        <v>180</v>
      </c>
      <c r="G344" s="21">
        <v>1</v>
      </c>
      <c r="H344" s="22">
        <f>F344 * G344 * 47.2554</f>
        <v>8505.9719999999998</v>
      </c>
      <c r="I344" s="22">
        <f>F344 * G344 * 0</f>
        <v>0</v>
      </c>
      <c r="J344" s="22">
        <f>F344 * G344 * 0</f>
        <v>0</v>
      </c>
      <c r="K344" s="22">
        <f>F344 * G344 * 44.987141</f>
        <v>8097.6853799999999</v>
      </c>
      <c r="L344" s="22">
        <f>F344 * G344 * 10.728677</f>
        <v>1931.1618599999999</v>
      </c>
      <c r="M344" s="22">
        <f>F344 * G344 * 9.45108</f>
        <v>1701.1943999999999</v>
      </c>
      <c r="N344" s="26">
        <f t="shared" si="15"/>
        <v>20236.013640000001</v>
      </c>
      <c r="O344" s="29">
        <v>0.30873937568656168</v>
      </c>
    </row>
    <row r="345" spans="2:15">
      <c r="B345" s="17">
        <v>212</v>
      </c>
      <c r="C345" s="18" t="s">
        <v>835</v>
      </c>
      <c r="D345" s="19" t="s">
        <v>836</v>
      </c>
      <c r="E345" s="19" t="s">
        <v>837</v>
      </c>
      <c r="F345" s="20">
        <v>18</v>
      </c>
      <c r="G345" s="21">
        <v>1</v>
      </c>
      <c r="H345" s="22">
        <f>F345 * G345 * 0</f>
        <v>0</v>
      </c>
      <c r="I345" s="22">
        <f>F345 * G345 * 0</f>
        <v>0</v>
      </c>
      <c r="J345" s="22">
        <f>F345 * G345 * 6.100631</f>
        <v>109.811358</v>
      </c>
      <c r="K345" s="22">
        <f>F345 * G345 * 2.022733</f>
        <v>36.409193999999999</v>
      </c>
      <c r="L345" s="22">
        <f>F345 * G345 * 0.901847</f>
        <v>16.233245999999998</v>
      </c>
      <c r="M345" s="22">
        <f>F345 * G345 * 0.424944</f>
        <v>7.6489919999999998</v>
      </c>
      <c r="N345" s="26">
        <f t="shared" si="15"/>
        <v>170.10279</v>
      </c>
      <c r="O345" s="29">
        <v>2.5952457890882461E-3</v>
      </c>
    </row>
    <row r="346" spans="2:15" ht="25.5">
      <c r="B346" s="17">
        <v>213</v>
      </c>
      <c r="C346" s="18" t="s">
        <v>838</v>
      </c>
      <c r="D346" s="19" t="s">
        <v>839</v>
      </c>
      <c r="E346" s="19" t="s">
        <v>96</v>
      </c>
      <c r="F346" s="20">
        <v>0.5</v>
      </c>
      <c r="G346" s="21">
        <v>123.5</v>
      </c>
      <c r="H346" s="22">
        <f>F346 * G346 * 260.849808</f>
        <v>16107.475644</v>
      </c>
      <c r="I346" s="22">
        <f>F346 * G346 * 0</f>
        <v>0</v>
      </c>
      <c r="J346" s="22">
        <f t="shared" ref="J346:J352" si="16">F346 * G346 * 0</f>
        <v>0</v>
      </c>
      <c r="K346" s="22">
        <f>F346 * G346 * 248.329017</f>
        <v>15334.31679975</v>
      </c>
      <c r="L346" s="22">
        <f>F346 * G346 * 59.222297</f>
        <v>3656.9768397499997</v>
      </c>
      <c r="M346" s="22">
        <f>F346 * G346 * 52.169962</f>
        <v>3221.4951535</v>
      </c>
      <c r="N346" s="26">
        <f t="shared" si="15"/>
        <v>38320.264436999998</v>
      </c>
      <c r="O346" s="29">
        <v>0.58464946352068836</v>
      </c>
    </row>
    <row r="347" spans="2:15" ht="25.5">
      <c r="B347" s="17">
        <v>214</v>
      </c>
      <c r="C347" s="18" t="s">
        <v>840</v>
      </c>
      <c r="D347" s="19" t="s">
        <v>841</v>
      </c>
      <c r="E347" s="19" t="s">
        <v>96</v>
      </c>
      <c r="F347" s="20">
        <v>0.5</v>
      </c>
      <c r="G347" s="21">
        <v>123.5</v>
      </c>
      <c r="H347" s="22">
        <f>F347 * G347 * 48.200508</f>
        <v>2976.3813690000002</v>
      </c>
      <c r="I347" s="22">
        <f>F347 * G347 * 0.284166</f>
        <v>17.547250499999997</v>
      </c>
      <c r="J347" s="22">
        <f t="shared" si="16"/>
        <v>0</v>
      </c>
      <c r="K347" s="22">
        <f>F347 * G347 * 45.886883</f>
        <v>2833.5150252499998</v>
      </c>
      <c r="L347" s="22">
        <f>F347 * G347 * 10.97323</f>
        <v>677.59695249999993</v>
      </c>
      <c r="M347" s="22">
        <f>F347 * G347 * 9.640102</f>
        <v>595.27629850000005</v>
      </c>
      <c r="N347" s="26">
        <f t="shared" si="15"/>
        <v>7100.3168957499993</v>
      </c>
      <c r="O347" s="29">
        <v>0.10832901403255828</v>
      </c>
    </row>
    <row r="348" spans="2:15" ht="25.5">
      <c r="B348" s="17">
        <v>215</v>
      </c>
      <c r="C348" s="18" t="s">
        <v>842</v>
      </c>
      <c r="D348" s="19" t="s">
        <v>843</v>
      </c>
      <c r="E348" s="19" t="s">
        <v>844</v>
      </c>
      <c r="F348" s="20">
        <v>2</v>
      </c>
      <c r="G348" s="21">
        <v>12</v>
      </c>
      <c r="H348" s="22">
        <f>F348 * G348 * 98.858297</f>
        <v>2372.5991279999998</v>
      </c>
      <c r="I348" s="22">
        <f>F348 * G348 * 0.495187</f>
        <v>11.884487999999999</v>
      </c>
      <c r="J348" s="22">
        <f t="shared" si="16"/>
        <v>0</v>
      </c>
      <c r="K348" s="22">
        <f>F348 * G348 * 94.1130989999999</f>
        <v>2258.7143759999976</v>
      </c>
      <c r="L348" s="22">
        <f>F348 * G348 * 22.496634</f>
        <v>539.91921600000001</v>
      </c>
      <c r="M348" s="22">
        <f>F348 * G348 * 19.771659</f>
        <v>474.51981599999999</v>
      </c>
      <c r="N348" s="26">
        <f t="shared" si="15"/>
        <v>5657.6370239999978</v>
      </c>
      <c r="O348" s="29">
        <v>8.6318153057488065E-2</v>
      </c>
    </row>
    <row r="349" spans="2:15">
      <c r="B349" s="17">
        <v>216</v>
      </c>
      <c r="C349" s="18" t="s">
        <v>845</v>
      </c>
      <c r="D349" s="19" t="s">
        <v>846</v>
      </c>
      <c r="E349" s="19" t="s">
        <v>96</v>
      </c>
      <c r="F349" s="20">
        <v>0.3</v>
      </c>
      <c r="G349" s="21">
        <v>20</v>
      </c>
      <c r="H349" s="22">
        <f>F349 * G349 * 1134.1296</f>
        <v>6804.7775999999994</v>
      </c>
      <c r="I349" s="22">
        <f>F349 * G349 * 0</f>
        <v>0</v>
      </c>
      <c r="J349" s="22">
        <f t="shared" si="16"/>
        <v>0</v>
      </c>
      <c r="K349" s="22">
        <f>F349 * G349 * 1079.691379</f>
        <v>6478.148274000001</v>
      </c>
      <c r="L349" s="22">
        <f>F349 * G349 * 257.488247</f>
        <v>1544.929482</v>
      </c>
      <c r="M349" s="22">
        <f>F349 * G349 * 226.82592</f>
        <v>1360.95552</v>
      </c>
      <c r="N349" s="26">
        <f t="shared" si="15"/>
        <v>16188.810876</v>
      </c>
      <c r="O349" s="29">
        <v>0.2469915</v>
      </c>
    </row>
    <row r="350" spans="2:15">
      <c r="B350" s="17">
        <v>217</v>
      </c>
      <c r="C350" s="18" t="s">
        <v>847</v>
      </c>
      <c r="D350" s="19" t="s">
        <v>848</v>
      </c>
      <c r="E350" s="19" t="s">
        <v>755</v>
      </c>
      <c r="F350" s="20">
        <v>0.3</v>
      </c>
      <c r="G350" s="21">
        <v>20</v>
      </c>
      <c r="H350" s="22">
        <f>F350 * G350 * 459.322488</f>
        <v>2755.9349280000001</v>
      </c>
      <c r="I350" s="22">
        <f>F350 * G350 * 2.720736</f>
        <v>16.324415999999999</v>
      </c>
      <c r="J350" s="22">
        <f t="shared" si="16"/>
        <v>0</v>
      </c>
      <c r="K350" s="22">
        <f>F350 * G350 * 437.275008</f>
        <v>2623.650048</v>
      </c>
      <c r="L350" s="22">
        <f>F350 * G350 * 104.569778</f>
        <v>627.41866800000003</v>
      </c>
      <c r="M350" s="22">
        <f>F350 * G350 * 91.864498</f>
        <v>551.18698799999993</v>
      </c>
      <c r="N350" s="26">
        <f t="shared" si="15"/>
        <v>6574.5150479999993</v>
      </c>
      <c r="O350" s="29">
        <v>0.10030689381179055</v>
      </c>
    </row>
    <row r="351" spans="2:15">
      <c r="B351" s="17">
        <v>218</v>
      </c>
      <c r="C351" s="18" t="s">
        <v>849</v>
      </c>
      <c r="D351" s="19" t="s">
        <v>850</v>
      </c>
      <c r="E351" s="19" t="s">
        <v>851</v>
      </c>
      <c r="F351" s="20">
        <v>2E-3</v>
      </c>
      <c r="G351" s="21">
        <v>365</v>
      </c>
      <c r="H351" s="22">
        <f>F351 * G351 * 14743.6848</f>
        <v>10762.889904</v>
      </c>
      <c r="I351" s="22">
        <f>F351 * G351 * 0</f>
        <v>0</v>
      </c>
      <c r="J351" s="22">
        <f t="shared" si="16"/>
        <v>0</v>
      </c>
      <c r="K351" s="22">
        <f>F351 * G351 * 14035.98793</f>
        <v>10246.271188899998</v>
      </c>
      <c r="L351" s="22">
        <f>F351 * G351 * 3347.347222</f>
        <v>2443.5634720599996</v>
      </c>
      <c r="M351" s="22">
        <f>F351 * G351 * 2948.73696</f>
        <v>2152.5779808000002</v>
      </c>
      <c r="N351" s="26">
        <f t="shared" si="15"/>
        <v>25605.302545759998</v>
      </c>
      <c r="O351" s="29">
        <v>0.39065822265592581</v>
      </c>
    </row>
    <row r="352" spans="2:15">
      <c r="B352" s="17">
        <v>219</v>
      </c>
      <c r="C352" s="18" t="s">
        <v>852</v>
      </c>
      <c r="D352" s="19" t="s">
        <v>853</v>
      </c>
      <c r="E352" s="19" t="s">
        <v>834</v>
      </c>
      <c r="F352" s="20">
        <v>6</v>
      </c>
      <c r="G352" s="21">
        <v>2</v>
      </c>
      <c r="H352" s="22">
        <f>F352 * G352 * 75.60864</f>
        <v>907.30367999999999</v>
      </c>
      <c r="I352" s="22">
        <f>F352 * G352 * 0</f>
        <v>0</v>
      </c>
      <c r="J352" s="22">
        <f t="shared" si="16"/>
        <v>0</v>
      </c>
      <c r="K352" s="22">
        <f>F352 * G352 * 71.9794249999999</f>
        <v>863.75309999999888</v>
      </c>
      <c r="L352" s="22">
        <f>F352 * G352 * 17.1658829999999</f>
        <v>205.99059599999882</v>
      </c>
      <c r="M352" s="22">
        <f>F352 * G352 * 15.121728</f>
        <v>181.460736</v>
      </c>
      <c r="N352" s="26">
        <f t="shared" si="15"/>
        <v>2158.5081119999977</v>
      </c>
      <c r="O352" s="29">
        <v>3.2932199926766721E-2</v>
      </c>
    </row>
    <row r="353" spans="2:15" s="11" customFormat="1" ht="15">
      <c r="B353" s="12"/>
      <c r="C353" s="13" t="s">
        <v>854</v>
      </c>
      <c r="D353" s="41" t="s">
        <v>855</v>
      </c>
      <c r="E353" s="41"/>
      <c r="F353" s="41"/>
      <c r="G353" s="41"/>
      <c r="H353" s="41"/>
      <c r="I353" s="41"/>
      <c r="J353" s="41"/>
      <c r="K353" s="41"/>
      <c r="L353" s="41"/>
      <c r="M353" s="41"/>
      <c r="N353" s="42"/>
      <c r="O353" s="30"/>
    </row>
    <row r="354" spans="2:15" s="14" customFormat="1" ht="12.75">
      <c r="B354" s="15"/>
      <c r="C354" s="16" t="s">
        <v>856</v>
      </c>
      <c r="D354" s="43" t="s">
        <v>857</v>
      </c>
      <c r="E354" s="43"/>
      <c r="F354" s="43"/>
      <c r="G354" s="43"/>
      <c r="H354" s="43"/>
      <c r="I354" s="43"/>
      <c r="J354" s="43"/>
      <c r="K354" s="43"/>
      <c r="L354" s="43"/>
      <c r="M354" s="43"/>
      <c r="N354" s="44"/>
      <c r="O354" s="28"/>
    </row>
    <row r="355" spans="2:15">
      <c r="B355" s="17">
        <v>220</v>
      </c>
      <c r="C355" s="18" t="s">
        <v>858</v>
      </c>
      <c r="D355" s="19" t="s">
        <v>859</v>
      </c>
      <c r="E355" s="19" t="s">
        <v>860</v>
      </c>
      <c r="F355" s="20">
        <v>2</v>
      </c>
      <c r="G355" s="21">
        <v>1</v>
      </c>
      <c r="H355" s="22">
        <f>F355 * G355 * 67.679184</f>
        <v>135.35836800000001</v>
      </c>
      <c r="I355" s="22">
        <f>F355 * G355 * 268.14146</f>
        <v>536.28291999999999</v>
      </c>
      <c r="J355" s="22">
        <f>F355 * G355 * 0</f>
        <v>0</v>
      </c>
      <c r="K355" s="22">
        <f>F355 * G355 * 64.430584</f>
        <v>128.86116799999999</v>
      </c>
      <c r="L355" s="22">
        <f>F355 * G355 * 43.654535</f>
        <v>87.309070000000006</v>
      </c>
      <c r="M355" s="22">
        <f>F355 * G355 * 13.535837</f>
        <v>27.071674000000002</v>
      </c>
      <c r="N355" s="26">
        <f>SUM(H355:M355)</f>
        <v>914.8832000000001</v>
      </c>
      <c r="O355" s="29">
        <v>1.3958305870865375E-2</v>
      </c>
    </row>
    <row r="356" spans="2:15">
      <c r="B356" s="17">
        <v>221</v>
      </c>
      <c r="C356" s="18" t="s">
        <v>861</v>
      </c>
      <c r="D356" s="19" t="s">
        <v>862</v>
      </c>
      <c r="E356" s="19" t="s">
        <v>863</v>
      </c>
      <c r="F356" s="20">
        <v>0.04</v>
      </c>
      <c r="G356" s="21">
        <v>1</v>
      </c>
      <c r="H356" s="22">
        <f>F356 * G356 * 21867.071538</f>
        <v>874.68286152000007</v>
      </c>
      <c r="I356" s="22">
        <f>F356 * G356 * 79889.229706</f>
        <v>3195.5691882400001</v>
      </c>
      <c r="J356" s="22">
        <f>F356 * G356 * 9290.6462</f>
        <v>371.62584799999996</v>
      </c>
      <c r="K356" s="22">
        <f>F356 * G356 * 23532.655228</f>
        <v>941.30620911999995</v>
      </c>
      <c r="L356" s="22">
        <f>F356 * G356 * 14719.722688</f>
        <v>588.78890751999995</v>
      </c>
      <c r="M356" s="22">
        <f>F356 * G356 * 4943.835132</f>
        <v>197.75340528000001</v>
      </c>
      <c r="N356" s="26">
        <f>SUM(H356:M356)</f>
        <v>6169.7264196800006</v>
      </c>
      <c r="O356" s="29">
        <v>9.4131063402904933E-2</v>
      </c>
    </row>
    <row r="357" spans="2:15">
      <c r="B357" s="17">
        <v>222</v>
      </c>
      <c r="C357" s="18" t="s">
        <v>864</v>
      </c>
      <c r="D357" s="19" t="s">
        <v>865</v>
      </c>
      <c r="E357" s="19" t="s">
        <v>866</v>
      </c>
      <c r="F357" s="20">
        <v>0.4</v>
      </c>
      <c r="G357" s="21">
        <v>1</v>
      </c>
      <c r="H357" s="22">
        <f>F357 * G357 * 2425.063958</f>
        <v>970.02558320000014</v>
      </c>
      <c r="I357" s="22">
        <f>F357 * G357 * 9099.73286</f>
        <v>3639.8931440000001</v>
      </c>
      <c r="J357" s="22">
        <f>F357 * G357 * 413.769664</f>
        <v>165.5078656</v>
      </c>
      <c r="K357" s="22">
        <f>F357 * G357 * 2529.649898</f>
        <v>1011.8599592</v>
      </c>
      <c r="L357" s="22">
        <f>F357 * G357 * 1582.463648</f>
        <v>632.98545920000004</v>
      </c>
      <c r="M357" s="22">
        <f>F357 * G357 * 531.439054</f>
        <v>212.57562160000003</v>
      </c>
      <c r="N357" s="26">
        <f>SUM(H357:M357)</f>
        <v>6632.8476327999997</v>
      </c>
      <c r="O357" s="29">
        <v>0.1011968697790797</v>
      </c>
    </row>
    <row r="358" spans="2:15" s="14" customFormat="1" ht="12.75">
      <c r="B358" s="15"/>
      <c r="C358" s="16" t="s">
        <v>867</v>
      </c>
      <c r="D358" s="43" t="s">
        <v>868</v>
      </c>
      <c r="E358" s="43"/>
      <c r="F358" s="43"/>
      <c r="G358" s="43"/>
      <c r="H358" s="43"/>
      <c r="I358" s="43"/>
      <c r="J358" s="43"/>
      <c r="K358" s="43"/>
      <c r="L358" s="43"/>
      <c r="M358" s="43"/>
      <c r="N358" s="44"/>
      <c r="O358" s="28"/>
    </row>
    <row r="359" spans="2:15">
      <c r="B359" s="17">
        <v>223</v>
      </c>
      <c r="C359" s="18" t="s">
        <v>869</v>
      </c>
      <c r="D359" s="19" t="s">
        <v>870</v>
      </c>
      <c r="E359" s="19" t="s">
        <v>775</v>
      </c>
      <c r="F359" s="20">
        <v>2</v>
      </c>
      <c r="G359" s="21">
        <v>1</v>
      </c>
      <c r="H359" s="22">
        <f>F359 * G359 * 744.27633</f>
        <v>1488.5526600000001</v>
      </c>
      <c r="I359" s="22">
        <f>F359 * G359 * 7128.96</f>
        <v>14257.92</v>
      </c>
      <c r="J359" s="22">
        <f>F359 * G359 * 0</f>
        <v>0</v>
      </c>
      <c r="K359" s="22">
        <f>F359 * G359 * 708.551067</f>
        <v>1417.102134</v>
      </c>
      <c r="L359" s="22">
        <f>F359 * G359 * 921.082801</f>
        <v>1842.165602</v>
      </c>
      <c r="M359" s="22">
        <f>F359 * G359 * 148.855266</f>
        <v>297.710532</v>
      </c>
      <c r="N359" s="26">
        <f>SUM(H359:M359)</f>
        <v>19303.450928000002</v>
      </c>
      <c r="O359" s="29">
        <v>0.29451133479799835</v>
      </c>
    </row>
    <row r="360" spans="2:15">
      <c r="B360" s="17">
        <v>224</v>
      </c>
      <c r="C360" s="18" t="s">
        <v>871</v>
      </c>
      <c r="D360" s="19" t="s">
        <v>872</v>
      </c>
      <c r="E360" s="19" t="s">
        <v>778</v>
      </c>
      <c r="F360" s="20">
        <v>2</v>
      </c>
      <c r="G360" s="21">
        <v>1</v>
      </c>
      <c r="H360" s="22">
        <f>F360 * G360 * 1989.790689</f>
        <v>3979.5813779999999</v>
      </c>
      <c r="I360" s="22">
        <f>F360 * G360 * 2729.218351</f>
        <v>5458.436702</v>
      </c>
      <c r="J360" s="22">
        <f>F360 * G360 * 0</f>
        <v>0</v>
      </c>
      <c r="K360" s="22">
        <f>F360 * G360 * 1894.280736</f>
        <v>3788.5614719999999</v>
      </c>
      <c r="L360" s="22">
        <f>F360 * G360 * 739.686655</f>
        <v>1479.3733099999999</v>
      </c>
      <c r="M360" s="22">
        <f>F360 * G360 * 397.958138</f>
        <v>795.91627600000004</v>
      </c>
      <c r="N360" s="26">
        <f>SUM(H360:M360)</f>
        <v>15501.869137999998</v>
      </c>
      <c r="O360" s="29">
        <v>0.23651088029415354</v>
      </c>
    </row>
    <row r="361" spans="2:15" s="11" customFormat="1" ht="15">
      <c r="B361" s="12"/>
      <c r="C361" s="13" t="s">
        <v>873</v>
      </c>
      <c r="D361" s="41" t="s">
        <v>874</v>
      </c>
      <c r="E361" s="41"/>
      <c r="F361" s="41"/>
      <c r="G361" s="41"/>
      <c r="H361" s="41"/>
      <c r="I361" s="41"/>
      <c r="J361" s="41"/>
      <c r="K361" s="41"/>
      <c r="L361" s="41"/>
      <c r="M361" s="41"/>
      <c r="N361" s="42"/>
      <c r="O361" s="30"/>
    </row>
    <row r="362" spans="2:15" s="14" customFormat="1" ht="12.75">
      <c r="B362" s="15"/>
      <c r="C362" s="16" t="s">
        <v>875</v>
      </c>
      <c r="D362" s="43" t="s">
        <v>876</v>
      </c>
      <c r="E362" s="43"/>
      <c r="F362" s="43"/>
      <c r="G362" s="43"/>
      <c r="H362" s="43"/>
      <c r="I362" s="43"/>
      <c r="J362" s="43"/>
      <c r="K362" s="43"/>
      <c r="L362" s="43"/>
      <c r="M362" s="43"/>
      <c r="N362" s="44"/>
      <c r="O362" s="28"/>
    </row>
    <row r="363" spans="2:15" ht="38.25">
      <c r="B363" s="17">
        <v>225</v>
      </c>
      <c r="C363" s="18" t="s">
        <v>877</v>
      </c>
      <c r="D363" s="19" t="s">
        <v>878</v>
      </c>
      <c r="E363" s="19" t="s">
        <v>879</v>
      </c>
      <c r="F363" s="20">
        <v>1.6800000000000002</v>
      </c>
      <c r="G363" s="21">
        <v>12</v>
      </c>
      <c r="H363" s="22">
        <f>F363 * G363 * 1255.405859</f>
        <v>25308.982117440002</v>
      </c>
      <c r="I363" s="22">
        <f>F363 * G363 * 71.47008</f>
        <v>1440.8368128000002</v>
      </c>
      <c r="J363" s="22">
        <f>F363 * G363 * 0</f>
        <v>0</v>
      </c>
      <c r="K363" s="22">
        <f>F363 * G363 * 1195.146377</f>
        <v>24094.150960320007</v>
      </c>
      <c r="L363" s="22">
        <f>F363 * G363 * 292.562418</f>
        <v>5898.0583468800005</v>
      </c>
      <c r="M363" s="22">
        <f>F363 * G363 * 251.081172</f>
        <v>5061.7964275200011</v>
      </c>
      <c r="N363" s="26">
        <f>SUM(H363:M363)</f>
        <v>61803.824664960011</v>
      </c>
      <c r="O363" s="29">
        <v>0.94293641927499106</v>
      </c>
    </row>
    <row r="364" spans="2:15" ht="39" thickBot="1">
      <c r="B364" s="17">
        <v>226</v>
      </c>
      <c r="C364" s="18" t="s">
        <v>880</v>
      </c>
      <c r="D364" s="19" t="s">
        <v>881</v>
      </c>
      <c r="E364" s="19" t="s">
        <v>879</v>
      </c>
      <c r="F364" s="20">
        <v>1.6800000000000002</v>
      </c>
      <c r="G364" s="21">
        <v>12</v>
      </c>
      <c r="H364" s="22">
        <f>F364 * G364 * 894.476674</f>
        <v>18032.649747840005</v>
      </c>
      <c r="I364" s="22">
        <f>F364 * G364 * 324.864</f>
        <v>6549.258240000001</v>
      </c>
      <c r="J364" s="22">
        <f>F364 * G364 * 0</f>
        <v>0</v>
      </c>
      <c r="K364" s="22">
        <f>F364 * G364 * 851.541794</f>
        <v>17167.082567040005</v>
      </c>
      <c r="L364" s="22">
        <f>F364 * G364 * 237.351557999999</f>
        <v>4785.0074092799805</v>
      </c>
      <c r="M364" s="22">
        <f>F364 * G364 * 178.895335</f>
        <v>3606.5299536000002</v>
      </c>
      <c r="N364" s="26">
        <f>SUM(H364:M364)</f>
        <v>50140.527917759995</v>
      </c>
      <c r="O364" s="33">
        <v>0.76499035636763091</v>
      </c>
    </row>
    <row r="365" spans="2:15" s="23" customFormat="1" ht="20.100000000000001" customHeight="1" thickTop="1" thickBot="1">
      <c r="B365" s="49" t="s">
        <v>882</v>
      </c>
      <c r="C365" s="49"/>
      <c r="D365" s="49"/>
      <c r="E365" s="49"/>
      <c r="F365" s="49"/>
      <c r="G365" s="49"/>
      <c r="H365" s="24">
        <f t="shared" ref="H365:O365" si="17">SUM(H4:H364)</f>
        <v>1199044.1946523834</v>
      </c>
      <c r="I365" s="24">
        <f t="shared" si="17"/>
        <v>655926.11312579596</v>
      </c>
      <c r="J365" s="24">
        <f t="shared" si="17"/>
        <v>10469.26254704</v>
      </c>
      <c r="K365" s="24">
        <f t="shared" si="17"/>
        <v>1143883.2016623698</v>
      </c>
      <c r="L365" s="24">
        <f t="shared" si="17"/>
        <v>342836.42590626422</v>
      </c>
      <c r="M365" s="24">
        <f t="shared" si="17"/>
        <v>240311.59672449584</v>
      </c>
      <c r="N365" s="25">
        <f t="shared" si="17"/>
        <v>3592470.7946183509</v>
      </c>
      <c r="O365" s="25">
        <f t="shared" si="17"/>
        <v>54.810063386707419</v>
      </c>
    </row>
    <row r="366" spans="2:15" ht="16.5" thickTop="1"/>
  </sheetData>
  <autoFilter ref="A1:N365"/>
  <mergeCells count="139">
    <mergeCell ref="D358:N358"/>
    <mergeCell ref="D361:N361"/>
    <mergeCell ref="D362:N362"/>
    <mergeCell ref="B365:G365"/>
    <mergeCell ref="D319:N319"/>
    <mergeCell ref="D323:N323"/>
    <mergeCell ref="D328:N328"/>
    <mergeCell ref="D330:N330"/>
    <mergeCell ref="D332:N332"/>
    <mergeCell ref="D338:N338"/>
    <mergeCell ref="D342:N342"/>
    <mergeCell ref="D353:N353"/>
    <mergeCell ref="D354:N354"/>
    <mergeCell ref="D294:N294"/>
    <mergeCell ref="D297:N297"/>
    <mergeCell ref="D305:N305"/>
    <mergeCell ref="D306:N306"/>
    <mergeCell ref="D308:N308"/>
    <mergeCell ref="D309:N309"/>
    <mergeCell ref="D313:N313"/>
    <mergeCell ref="D315:N315"/>
    <mergeCell ref="D318:N318"/>
    <mergeCell ref="D275:N275"/>
    <mergeCell ref="D277:N277"/>
    <mergeCell ref="D278:N278"/>
    <mergeCell ref="D279:N279"/>
    <mergeCell ref="D280:N280"/>
    <mergeCell ref="D283:N283"/>
    <mergeCell ref="D286:N286"/>
    <mergeCell ref="D289:N289"/>
    <mergeCell ref="D293:N293"/>
    <mergeCell ref="D244:N244"/>
    <mergeCell ref="D248:N248"/>
    <mergeCell ref="D251:N251"/>
    <mergeCell ref="D253:N253"/>
    <mergeCell ref="D254:N254"/>
    <mergeCell ref="D260:N260"/>
    <mergeCell ref="D266:N266"/>
    <mergeCell ref="D271:N271"/>
    <mergeCell ref="D274:N274"/>
    <mergeCell ref="D220:N220"/>
    <mergeCell ref="D222:N222"/>
    <mergeCell ref="D226:N226"/>
    <mergeCell ref="D229:N229"/>
    <mergeCell ref="D233:N233"/>
    <mergeCell ref="D234:N234"/>
    <mergeCell ref="D238:N238"/>
    <mergeCell ref="D241:N241"/>
    <mergeCell ref="D243:N243"/>
    <mergeCell ref="D195:N195"/>
    <mergeCell ref="D197:N197"/>
    <mergeCell ref="D199:N199"/>
    <mergeCell ref="D200:N200"/>
    <mergeCell ref="D207:N207"/>
    <mergeCell ref="D209:N209"/>
    <mergeCell ref="D213:N213"/>
    <mergeCell ref="D216:N216"/>
    <mergeCell ref="D217:N217"/>
    <mergeCell ref="D173:N173"/>
    <mergeCell ref="D180:N180"/>
    <mergeCell ref="D183:N183"/>
    <mergeCell ref="D184:N184"/>
    <mergeCell ref="D186:N186"/>
    <mergeCell ref="D188:N188"/>
    <mergeCell ref="D189:N189"/>
    <mergeCell ref="D192:N192"/>
    <mergeCell ref="D194:N194"/>
    <mergeCell ref="D157:N157"/>
    <mergeCell ref="D159:N159"/>
    <mergeCell ref="D160:N160"/>
    <mergeCell ref="D161:N161"/>
    <mergeCell ref="D164:N164"/>
    <mergeCell ref="D166:N166"/>
    <mergeCell ref="D168:N168"/>
    <mergeCell ref="D170:N170"/>
    <mergeCell ref="D172:N172"/>
    <mergeCell ref="D139:N139"/>
    <mergeCell ref="D141:N141"/>
    <mergeCell ref="D143:N143"/>
    <mergeCell ref="D144:N144"/>
    <mergeCell ref="D146:N146"/>
    <mergeCell ref="D149:N149"/>
    <mergeCell ref="D150:N150"/>
    <mergeCell ref="D152:N152"/>
    <mergeCell ref="D154:N154"/>
    <mergeCell ref="D119:N119"/>
    <mergeCell ref="D122:N122"/>
    <mergeCell ref="D123:N123"/>
    <mergeCell ref="D126:N126"/>
    <mergeCell ref="D128:N128"/>
    <mergeCell ref="D132:N132"/>
    <mergeCell ref="D133:N133"/>
    <mergeCell ref="D134:N134"/>
    <mergeCell ref="D138:N138"/>
    <mergeCell ref="D86:N86"/>
    <mergeCell ref="D90:N90"/>
    <mergeCell ref="D91:N91"/>
    <mergeCell ref="D101:N101"/>
    <mergeCell ref="D109:N109"/>
    <mergeCell ref="D111:N111"/>
    <mergeCell ref="D113:N113"/>
    <mergeCell ref="D116:N116"/>
    <mergeCell ref="D118:N118"/>
    <mergeCell ref="D58:N58"/>
    <mergeCell ref="D62:N62"/>
    <mergeCell ref="D63:N63"/>
    <mergeCell ref="D66:N66"/>
    <mergeCell ref="D67:N67"/>
    <mergeCell ref="D71:N71"/>
    <mergeCell ref="D74:N74"/>
    <mergeCell ref="D76:N76"/>
    <mergeCell ref="D84:N84"/>
    <mergeCell ref="D41:N41"/>
    <mergeCell ref="D42:N42"/>
    <mergeCell ref="D45:N45"/>
    <mergeCell ref="D48:N48"/>
    <mergeCell ref="D52:N52"/>
    <mergeCell ref="D53:N53"/>
    <mergeCell ref="D54:N54"/>
    <mergeCell ref="D56:N56"/>
    <mergeCell ref="D57:N57"/>
    <mergeCell ref="D22:N22"/>
    <mergeCell ref="D24:N24"/>
    <mergeCell ref="D25:N25"/>
    <mergeCell ref="D27:N27"/>
    <mergeCell ref="D28:N28"/>
    <mergeCell ref="D31:N31"/>
    <mergeCell ref="D32:N32"/>
    <mergeCell ref="D34:N34"/>
    <mergeCell ref="D39:N39"/>
    <mergeCell ref="B2:K3"/>
    <mergeCell ref="L2:M2"/>
    <mergeCell ref="L3:M3"/>
    <mergeCell ref="D4:N4"/>
    <mergeCell ref="D5:N5"/>
    <mergeCell ref="D7:N7"/>
    <mergeCell ref="D9:N9"/>
    <mergeCell ref="D18:N18"/>
    <mergeCell ref="D21:N21"/>
  </mergeCells>
  <pageMargins left="0.7" right="0.7" top="0.75" bottom="0.75" header="0.3" footer="0.3"/>
  <pageSetup paperSize="9" fitToHeight="0" orientation="landscape" horizontalDpi="4294967295" verticalDpi="4294967295" r:id="rId1"/>
  <headerFooter>
    <oddHeader>&amp;C&amp;KCCCCCC&amp;"Arial"1.13. МКД с уборкой МОП и придомовой территории, Коридорного типа.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1.13. МКД с уборкой МОП и придомовой территории, Коридорного типа.</dc:title>
  <dc:creator/>
  <cp:lastModifiedBy/>
  <cp:lastPrinted>2024-11-18T11:20:20Z</cp:lastPrinted>
  <dcterms:created xsi:type="dcterms:W3CDTF">2024-11-18T11:20:20Z</dcterms:created>
  <dcterms:modified xsi:type="dcterms:W3CDTF">2024-11-20T04:21:25Z</dcterms:modified>
</cp:coreProperties>
</file>