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570" windowWidth="38055" windowHeight="11955"/>
  </bookViews>
  <sheets>
    <sheet name="Смета" sheetId="1" r:id="rId1"/>
  </sheets>
  <definedNames>
    <definedName name="_xlnm.Print_Titles" localSheetId="0">Смета!$1:$1</definedName>
  </definedNames>
  <calcPr calcId="124519"/>
</workbook>
</file>

<file path=xl/calcChain.xml><?xml version="1.0" encoding="utf-8"?>
<calcChain xmlns="http://schemas.openxmlformats.org/spreadsheetml/2006/main">
  <c r="O48" i="1"/>
  <c r="M47" l="1"/>
  <c r="L47"/>
  <c r="K47"/>
  <c r="J47"/>
  <c r="I47"/>
  <c r="H47"/>
  <c r="N47" s="1"/>
  <c r="M46"/>
  <c r="L46"/>
  <c r="K46"/>
  <c r="J46"/>
  <c r="I46"/>
  <c r="H46"/>
  <c r="M45"/>
  <c r="L45"/>
  <c r="K45"/>
  <c r="J45"/>
  <c r="I45"/>
  <c r="H45"/>
  <c r="N45" s="1"/>
  <c r="M42"/>
  <c r="L42"/>
  <c r="K42"/>
  <c r="J42"/>
  <c r="I42"/>
  <c r="H42"/>
  <c r="M41"/>
  <c r="L41"/>
  <c r="K41"/>
  <c r="J41"/>
  <c r="I41"/>
  <c r="H41"/>
  <c r="N41" s="1"/>
  <c r="M40"/>
  <c r="L40"/>
  <c r="K40"/>
  <c r="J40"/>
  <c r="I40"/>
  <c r="H40"/>
  <c r="M39"/>
  <c r="L39"/>
  <c r="K39"/>
  <c r="J39"/>
  <c r="I39"/>
  <c r="H39"/>
  <c r="N39" s="1"/>
  <c r="M37"/>
  <c r="L37"/>
  <c r="K37"/>
  <c r="J37"/>
  <c r="I37"/>
  <c r="H37"/>
  <c r="M36"/>
  <c r="L36"/>
  <c r="K36"/>
  <c r="J36"/>
  <c r="I36"/>
  <c r="H36"/>
  <c r="N36" s="1"/>
  <c r="M35"/>
  <c r="L35"/>
  <c r="K35"/>
  <c r="J35"/>
  <c r="I35"/>
  <c r="H35"/>
  <c r="M33"/>
  <c r="L33"/>
  <c r="K33"/>
  <c r="J33"/>
  <c r="I33"/>
  <c r="H33"/>
  <c r="N33" s="1"/>
  <c r="M32"/>
  <c r="L32"/>
  <c r="K32"/>
  <c r="J32"/>
  <c r="I32"/>
  <c r="H32"/>
  <c r="M30"/>
  <c r="L30"/>
  <c r="K30"/>
  <c r="J30"/>
  <c r="I30"/>
  <c r="H30"/>
  <c r="N30" s="1"/>
  <c r="M29"/>
  <c r="L29"/>
  <c r="K29"/>
  <c r="J29"/>
  <c r="I29"/>
  <c r="H29"/>
  <c r="M28"/>
  <c r="L28"/>
  <c r="K28"/>
  <c r="J28"/>
  <c r="I28"/>
  <c r="H28"/>
  <c r="M27"/>
  <c r="L27"/>
  <c r="K27"/>
  <c r="J27"/>
  <c r="I27"/>
  <c r="H27"/>
  <c r="M26"/>
  <c r="L26"/>
  <c r="K26"/>
  <c r="J26"/>
  <c r="I26"/>
  <c r="H26"/>
  <c r="N26" s="1"/>
  <c r="M25"/>
  <c r="L25"/>
  <c r="K25"/>
  <c r="J25"/>
  <c r="I25"/>
  <c r="H25"/>
  <c r="M24"/>
  <c r="L24"/>
  <c r="K24"/>
  <c r="J24"/>
  <c r="I24"/>
  <c r="H24"/>
  <c r="N24" s="1"/>
  <c r="M23"/>
  <c r="L23"/>
  <c r="K23"/>
  <c r="J23"/>
  <c r="I23"/>
  <c r="H23"/>
  <c r="M21"/>
  <c r="L21"/>
  <c r="K21"/>
  <c r="J21"/>
  <c r="I21"/>
  <c r="H21"/>
  <c r="N21" s="1"/>
  <c r="M20"/>
  <c r="L20"/>
  <c r="K20"/>
  <c r="J20"/>
  <c r="I20"/>
  <c r="H20"/>
  <c r="M19"/>
  <c r="L19"/>
  <c r="K19"/>
  <c r="J19"/>
  <c r="I19"/>
  <c r="H19"/>
  <c r="N19" s="1"/>
  <c r="M18"/>
  <c r="L18"/>
  <c r="K18"/>
  <c r="J18"/>
  <c r="I18"/>
  <c r="H18"/>
  <c r="M17"/>
  <c r="L17"/>
  <c r="K17"/>
  <c r="J17"/>
  <c r="I17"/>
  <c r="H17"/>
  <c r="N17" s="1"/>
  <c r="M16"/>
  <c r="L16"/>
  <c r="K16"/>
  <c r="J16"/>
  <c r="I16"/>
  <c r="H16"/>
  <c r="M15"/>
  <c r="L15"/>
  <c r="K15"/>
  <c r="J15"/>
  <c r="I15"/>
  <c r="H15"/>
  <c r="N15" s="1"/>
  <c r="M13"/>
  <c r="L13"/>
  <c r="K13"/>
  <c r="J13"/>
  <c r="I13"/>
  <c r="H13"/>
  <c r="M11"/>
  <c r="L11"/>
  <c r="K11"/>
  <c r="J11"/>
  <c r="I11"/>
  <c r="H11"/>
  <c r="N11" s="1"/>
  <c r="M9"/>
  <c r="L9"/>
  <c r="K9"/>
  <c r="J9"/>
  <c r="I9"/>
  <c r="H9"/>
  <c r="M8"/>
  <c r="L8"/>
  <c r="K8"/>
  <c r="J8"/>
  <c r="I8"/>
  <c r="H8"/>
  <c r="N8" s="1"/>
  <c r="M7"/>
  <c r="M48" s="1"/>
  <c r="L7"/>
  <c r="K7"/>
  <c r="J7"/>
  <c r="J48" s="1"/>
  <c r="I7"/>
  <c r="I48" s="1"/>
  <c r="H7"/>
  <c r="N9" l="1"/>
  <c r="K48"/>
  <c r="N28"/>
  <c r="N20"/>
  <c r="N25"/>
  <c r="N29"/>
  <c r="N16"/>
  <c r="H48"/>
  <c r="L48"/>
  <c r="N13"/>
  <c r="N18"/>
  <c r="N23"/>
  <c r="N27"/>
  <c r="N32"/>
  <c r="N35"/>
  <c r="N37"/>
  <c r="N40"/>
  <c r="N42"/>
  <c r="N46"/>
  <c r="N7"/>
  <c r="N48" l="1"/>
</calcChain>
</file>

<file path=xl/sharedStrings.xml><?xml version="1.0" encoding="utf-8"?>
<sst xmlns="http://schemas.openxmlformats.org/spreadsheetml/2006/main" count="140" uniqueCount="127">
  <si>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</si>
  <si>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</si>
  <si>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</si>
  <si>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</si>
  <si>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</si>
  <si>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</si>
  <si>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</si>
  <si>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</si>
  <si>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</si>
  <si>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</si>
  <si>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</si>
  <si>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</si>
  <si>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</si>
  <si>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</si>
  <si>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Дата изменения:</t>
  </si>
  <si>
    <t>Общая площадь, кв.м:</t>
  </si>
  <si>
    <t>3.2</t>
  </si>
  <si>
    <t>Уборка земельного участка, входящего в состав общего имущества многоквартирного дома</t>
  </si>
  <si>
    <t>3.2.3</t>
  </si>
  <si>
    <t>Уборка и уход за газонами, очистка  урн</t>
  </si>
  <si>
    <t>3.2.3.1</t>
  </si>
  <si>
    <t>Уборка и уход за газонами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</si>
  <si>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</si>
  <si>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</si>
  <si>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</si>
  <si>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</si>
  <si>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</si>
  <si>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</si>
  <si>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</si>
  <si>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</si>
  <si>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</si>
  <si>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</t>
  </si>
  <si>
    <t>Содержание урн</t>
  </si>
  <si>
    <t>3.2.3.2.10</t>
  </si>
  <si>
    <t>Очистка опрокидывающихся урн от мусора</t>
  </si>
  <si>
    <t>на 100 урн</t>
  </si>
  <si>
    <t>3.2.5</t>
  </si>
  <si>
    <t>Очистка и текущий ремонт детских и спортивных  площадок, элементов  благоустройства</t>
  </si>
  <si>
    <t>3.2.5.1</t>
  </si>
  <si>
    <t>Уборка детских и спортивных площадок</t>
  </si>
  <si>
    <t>1000 кв.м.</t>
  </si>
  <si>
    <t>3.2.5.2</t>
  </si>
  <si>
    <t>Окраска</t>
  </si>
  <si>
    <t>3.2.5.2.1</t>
  </si>
  <si>
    <t>Окраска скамьи без спинки с металлическими опорами</t>
  </si>
  <si>
    <t>скамья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</si>
  <si>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</si>
  <si>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</si>
  <si>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</si>
  <si>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</si>
  <si>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</si>
  <si>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</si>
  <si>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</si>
  <si>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</si>
  <si>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3.2.5.2.7</t>
  </si>
  <si>
    <t>Окраска лианы 3-х секционной</t>
  </si>
  <si>
    <t>лиана</t>
  </si>
  <si>
    <t>3.2.5.2.8</t>
  </si>
  <si>
    <t>Окраска лестницы</t>
  </si>
  <si>
    <t>лестница</t>
  </si>
  <si>
    <t>3.2.5.2.9</t>
  </si>
  <si>
    <t>Окраска турника</t>
  </si>
  <si>
    <t>турник</t>
  </si>
  <si>
    <t>3.2.5.3</t>
  </si>
  <si>
    <t>Ремонт</t>
  </si>
  <si>
    <t>3.2.5.3.1</t>
  </si>
  <si>
    <t>Ремонт скамьи без спинки с металлическими опорами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</si>
  <si>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</si>
  <si>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</si>
  <si>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</si>
  <si>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</si>
  <si>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</si>
  <si>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</si>
  <si>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3.2.5.3.6</t>
  </si>
  <si>
    <t>Ремонт лианы 3-х секционной</t>
  </si>
  <si>
    <t>3.2.5.3.7</t>
  </si>
  <si>
    <t>Ремонт лестницы</t>
  </si>
  <si>
    <t>3.2.5.3.8</t>
  </si>
  <si>
    <t>Ремонт турника</t>
  </si>
  <si>
    <t>3.2.5.4</t>
  </si>
  <si>
    <t>Заполнение песочницы песком</t>
  </si>
  <si>
    <t>3.2.7</t>
  </si>
  <si>
    <t>Сдвижка и  подметание снега  при снегопаде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</si>
  <si>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</si>
  <si>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</si>
  <si>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10 000 кв.м. территории</t>
  </si>
  <si>
    <t>3.2.7.4</t>
  </si>
  <si>
    <t>Сдвижка и подметание снега при снегопаде на придомовой территории с неусовершенствованным покрытием 1 класса</t>
  </si>
  <si>
    <t>3.2.8</t>
  </si>
  <si>
    <t>Ликвидация наледи</t>
  </si>
  <si>
    <t>3.2.8.7</t>
  </si>
  <si>
    <t>Подготовка смеси песка с хлоридами</t>
  </si>
  <si>
    <t>1 куб. м</t>
  </si>
  <si>
    <t>3.2.8.9</t>
  </si>
  <si>
    <t>Посыпка территории II класса</t>
  </si>
  <si>
    <t>100 кв. м</t>
  </si>
  <si>
    <t>3.2.8.11</t>
  </si>
  <si>
    <t>Транспортировка смеси песка с хлоридами от места складирования к месту посыпки</t>
  </si>
  <si>
    <t>1 куб.м</t>
  </si>
  <si>
    <t>3.2.10</t>
  </si>
  <si>
    <t>Механизированная уборка территории</t>
  </si>
  <si>
    <t>3.2.10.3</t>
  </si>
  <si>
    <t>Сдвигание свежевыпавшего снега толщиной слоя свыше 2 см в валы или кучи дорожной комбинированной машиной</t>
  </si>
  <si>
    <t>1000 м2</t>
  </si>
  <si>
    <t>3.2.10.4</t>
  </si>
  <si>
    <t>Сдвигание свежевыпавшего снега толщиной слоя свыше 2 см в валы или кучи трактором</t>
  </si>
  <si>
    <t>3.2.10.9</t>
  </si>
  <si>
    <t>Погрузка снега и скола в автосамосвалы погрузчиками</t>
  </si>
  <si>
    <t>м3</t>
  </si>
  <si>
    <t>3.2.18</t>
  </si>
  <si>
    <t>Перекидывание снега и скола</t>
  </si>
  <si>
    <t>1 м3</t>
  </si>
  <si>
    <t>3.3</t>
  </si>
  <si>
    <t>Ремонт и установка объектов благоустройства придомовой территории</t>
  </si>
  <si>
    <t>3.3.1</t>
  </si>
  <si>
    <t>Ремонт  объектов  внешнего  благоустройства</t>
  </si>
  <si>
    <t>3.3.1.1</t>
  </si>
  <si>
    <t>Текущий ремонт ограждений газона</t>
  </si>
  <si>
    <t>пог.м.</t>
  </si>
  <si>
    <t>3.3.1.2</t>
  </si>
  <si>
    <t>Покраска ограждений газона</t>
  </si>
  <si>
    <t>3.3.1.6</t>
  </si>
  <si>
    <t>Ремонт тротуаров</t>
  </si>
  <si>
    <t>10 м2</t>
  </si>
  <si>
    <t>ИТОГО:</t>
  </si>
  <si>
    <t>6.1. МКД Содержание новых дворовых территорий</t>
  </si>
  <si>
    <t>Стоимость на кв.м. в мес., руб.</t>
  </si>
</sst>
</file>

<file path=xl/styles.xml><?xml version="1.0" encoding="utf-8"?>
<styleSheet xmlns="http://schemas.openxmlformats.org/spreadsheetml/2006/main">
  <numFmts count="1">
    <numFmt numFmtId="164" formatCode="#\ ###\ ##0.00"/>
  </numFmts>
  <fonts count="11">
    <font>
      <sz val="11"/>
      <color theme="1"/>
      <name val="Calibri"/>
      <family val="2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b/>
      <sz val="9"/>
      <color rgb="FFFFFFFF"/>
      <name val="Calibri"/>
      <family val="2"/>
      <charset val="204"/>
    </font>
    <font>
      <b/>
      <sz val="18"/>
      <color rgb="FF000099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70707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rgb="FFFFFFFF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7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0" fontId="7" fillId="0" borderId="0" xfId="0" applyFont="1"/>
    <xf numFmtId="0" fontId="7" fillId="3" borderId="6" xfId="0" applyFont="1" applyFill="1" applyBorder="1" applyAlignment="1">
      <alignment horizontal="center" vertical="top" wrapText="1" indent="1"/>
    </xf>
    <xf numFmtId="49" fontId="7" fillId="3" borderId="7" xfId="0" applyNumberFormat="1" applyFont="1" applyFill="1" applyBorder="1" applyAlignment="1">
      <alignment horizontal="left" vertical="top" wrapText="1" indent="1"/>
    </xf>
    <xf numFmtId="0" fontId="8" fillId="0" borderId="0" xfId="0" applyFont="1"/>
    <xf numFmtId="0" fontId="8" fillId="4" borderId="6" xfId="0" applyFont="1" applyFill="1" applyBorder="1" applyAlignment="1">
      <alignment horizontal="center" vertical="top" wrapText="1" indent="1"/>
    </xf>
    <xf numFmtId="49" fontId="8" fillId="4" borderId="7" xfId="0" applyNumberFormat="1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 wrapText="1" indent="1"/>
    </xf>
    <xf numFmtId="49" fontId="2" fillId="0" borderId="7" xfId="0" applyNumberFormat="1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right" vertical="top" indent="1"/>
    </xf>
    <xf numFmtId="0" fontId="3" fillId="6" borderId="7" xfId="0" applyFont="1" applyFill="1" applyBorder="1" applyAlignment="1">
      <alignment horizontal="right" vertical="top" indent="1"/>
    </xf>
    <xf numFmtId="164" fontId="2" fillId="0" borderId="7" xfId="0" applyNumberFormat="1" applyFont="1" applyBorder="1" applyAlignment="1">
      <alignment horizontal="right" vertical="top" indent="1"/>
    </xf>
    <xf numFmtId="0" fontId="9" fillId="0" borderId="0" xfId="0" applyFont="1" applyAlignment="1">
      <alignment horizontal="right" vertical="center" wrapText="1" indent="1"/>
    </xf>
    <xf numFmtId="164" fontId="9" fillId="2" borderId="2" xfId="0" applyNumberFormat="1" applyFont="1" applyFill="1" applyBorder="1" applyAlignment="1">
      <alignment horizontal="right" vertical="center" wrapText="1" indent="1"/>
    </xf>
    <xf numFmtId="164" fontId="4" fillId="2" borderId="10" xfId="0" applyNumberFormat="1" applyFont="1" applyFill="1" applyBorder="1" applyAlignment="1">
      <alignment horizontal="center" vertical="center" wrapText="1" indent="1"/>
    </xf>
    <xf numFmtId="164" fontId="6" fillId="0" borderId="5" xfId="0" applyNumberFormat="1" applyFont="1" applyBorder="1" applyAlignment="1">
      <alignment horizontal="left" indent="1"/>
    </xf>
    <xf numFmtId="164" fontId="2" fillId="7" borderId="11" xfId="0" applyNumberFormat="1" applyFont="1" applyFill="1" applyBorder="1" applyAlignment="1">
      <alignment horizontal="right" vertical="top" indent="1"/>
    </xf>
    <xf numFmtId="0" fontId="6" fillId="0" borderId="12" xfId="0" applyFont="1" applyBorder="1" applyAlignment="1">
      <alignment horizontal="left" indent="1"/>
    </xf>
    <xf numFmtId="164" fontId="6" fillId="0" borderId="13" xfId="0" applyNumberFormat="1" applyFont="1" applyBorder="1" applyAlignment="1">
      <alignment horizontal="left" indent="1"/>
    </xf>
    <xf numFmtId="164" fontId="4" fillId="2" borderId="9" xfId="0" applyNumberFormat="1" applyFont="1" applyFill="1" applyBorder="1" applyAlignment="1">
      <alignment horizontal="center" vertical="center" wrapText="1" indent="1"/>
    </xf>
    <xf numFmtId="164" fontId="9" fillId="2" borderId="10" xfId="0" applyNumberFormat="1" applyFont="1" applyFill="1" applyBorder="1" applyAlignment="1">
      <alignment horizontal="right" vertical="center" wrapText="1" indent="1"/>
    </xf>
    <xf numFmtId="0" fontId="7" fillId="3" borderId="14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indent="1"/>
    </xf>
    <xf numFmtId="0" fontId="8" fillId="4" borderId="15" xfId="0" applyFont="1" applyFill="1" applyBorder="1" applyAlignment="1">
      <alignment indent="2"/>
    </xf>
    <xf numFmtId="164" fontId="2" fillId="7" borderId="15" xfId="0" applyNumberFormat="1" applyFont="1" applyFill="1" applyBorder="1" applyAlignment="1">
      <alignment horizontal="right" vertical="top" indent="1"/>
    </xf>
    <xf numFmtId="0" fontId="7" fillId="3" borderId="15" xfId="0" applyFont="1" applyFill="1" applyBorder="1" applyAlignment="1">
      <alignment horizontal="left" vertical="top" wrapText="1"/>
    </xf>
    <xf numFmtId="164" fontId="2" fillId="7" borderId="16" xfId="0" applyNumberFormat="1" applyFont="1" applyFill="1" applyBorder="1" applyAlignment="1">
      <alignment horizontal="right" vertical="top" indent="1"/>
    </xf>
    <xf numFmtId="164" fontId="9" fillId="2" borderId="9" xfId="0" applyNumberFormat="1" applyFont="1" applyFill="1" applyBorder="1" applyAlignment="1">
      <alignment horizontal="right" vertical="center" wrapText="1" indent="1"/>
    </xf>
    <xf numFmtId="0" fontId="5" fillId="0" borderId="3" xfId="0" applyFont="1" applyBorder="1" applyAlignment="1">
      <alignment horizontal="left" vertical="center" indent="1"/>
    </xf>
    <xf numFmtId="164" fontId="6" fillId="0" borderId="4" xfId="0" applyNumberFormat="1" applyFont="1" applyBorder="1" applyAlignment="1">
      <alignment horizontal="right" indent="1"/>
    </xf>
    <xf numFmtId="164" fontId="6" fillId="0" borderId="5" xfId="0" applyNumberFormat="1" applyFont="1" applyBorder="1" applyAlignment="1">
      <alignment horizontal="right" indent="1"/>
    </xf>
    <xf numFmtId="0" fontId="7" fillId="3" borderId="8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indent="1"/>
    </xf>
    <xf numFmtId="0" fontId="8" fillId="4" borderId="11" xfId="0" applyFont="1" applyFill="1" applyBorder="1" applyAlignment="1">
      <alignment indent="1"/>
    </xf>
    <xf numFmtId="0" fontId="8" fillId="4" borderId="8" xfId="0" applyFont="1" applyFill="1" applyBorder="1" applyAlignment="1">
      <alignment indent="2"/>
    </xf>
    <xf numFmtId="0" fontId="8" fillId="4" borderId="11" xfId="0" applyFont="1" applyFill="1" applyBorder="1" applyAlignment="1">
      <alignment indent="2"/>
    </xf>
    <xf numFmtId="0" fontId="10" fillId="2" borderId="1" xfId="0" applyFont="1" applyFill="1" applyBorder="1" applyAlignment="1">
      <alignment horizontal="right" vertical="center" wrapText="1" indent="1"/>
    </xf>
    <xf numFmtId="14" fontId="6" fillId="0" borderId="4" xfId="0" applyNumberFormat="1" applyFont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workbookViewId="0">
      <pane ySplit="1" topLeftCell="A2" activePane="bottomLeft" state="frozen"/>
      <selection pane="bottomLeft" activeCell="R11" sqref="R11"/>
    </sheetView>
  </sheetViews>
  <sheetFormatPr defaultRowHeight="15.75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5" style="5" customWidth="1"/>
  </cols>
  <sheetData>
    <row r="1" spans="1:15" s="6" customFormat="1" ht="39.950000000000003" customHeight="1" thickTop="1" thickBo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25" t="s">
        <v>13</v>
      </c>
      <c r="O1" s="30" t="s">
        <v>126</v>
      </c>
    </row>
    <row r="2" spans="1:15" ht="16.5" thickTop="1" thickBot="1">
      <c r="A2" t="s">
        <v>0</v>
      </c>
      <c r="B2" s="39" t="s">
        <v>125</v>
      </c>
      <c r="C2" s="39"/>
      <c r="D2" s="39"/>
      <c r="E2" s="39"/>
      <c r="F2" s="39"/>
      <c r="G2" s="39"/>
      <c r="H2" s="39"/>
      <c r="I2" s="39"/>
      <c r="J2" s="39"/>
      <c r="K2" s="39"/>
      <c r="L2" s="40" t="s">
        <v>14</v>
      </c>
      <c r="M2" s="40"/>
      <c r="N2" s="49">
        <v>45575</v>
      </c>
      <c r="O2" s="28"/>
    </row>
    <row r="3" spans="1:15" ht="16.5" thickTop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41" t="s">
        <v>15</v>
      </c>
      <c r="M3" s="41"/>
      <c r="N3" s="26">
        <v>43283</v>
      </c>
      <c r="O3" s="29"/>
    </row>
    <row r="4" spans="1:15" s="11" customFormat="1" thickTop="1">
      <c r="B4" s="12"/>
      <c r="C4" s="13" t="s">
        <v>16</v>
      </c>
      <c r="D4" s="42" t="s">
        <v>17</v>
      </c>
      <c r="E4" s="42"/>
      <c r="F4" s="42"/>
      <c r="G4" s="42"/>
      <c r="H4" s="42"/>
      <c r="I4" s="42"/>
      <c r="J4" s="42"/>
      <c r="K4" s="42"/>
      <c r="L4" s="42"/>
      <c r="M4" s="42"/>
      <c r="N4" s="43"/>
      <c r="O4" s="32"/>
    </row>
    <row r="5" spans="1:15" s="14" customFormat="1" ht="12.75">
      <c r="B5" s="15"/>
      <c r="C5" s="16" t="s">
        <v>18</v>
      </c>
      <c r="D5" s="44" t="s">
        <v>19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3"/>
    </row>
    <row r="6" spans="1:15" s="14" customFormat="1" ht="12.75">
      <c r="B6" s="15"/>
      <c r="C6" s="16" t="s">
        <v>20</v>
      </c>
      <c r="D6" s="46" t="s">
        <v>21</v>
      </c>
      <c r="E6" s="46"/>
      <c r="F6" s="46"/>
      <c r="G6" s="46"/>
      <c r="H6" s="46"/>
      <c r="I6" s="46"/>
      <c r="J6" s="46"/>
      <c r="K6" s="46"/>
      <c r="L6" s="46"/>
      <c r="M6" s="46"/>
      <c r="N6" s="47"/>
      <c r="O6" s="34"/>
    </row>
    <row r="7" spans="1:15" ht="25.5">
      <c r="B7" s="17">
        <v>1</v>
      </c>
      <c r="C7" s="18" t="s">
        <v>22</v>
      </c>
      <c r="D7" s="19" t="s">
        <v>23</v>
      </c>
      <c r="E7" s="19" t="s">
        <v>24</v>
      </c>
      <c r="F7" s="20">
        <v>9.9000000000000005E-2</v>
      </c>
      <c r="G7" s="21">
        <v>2</v>
      </c>
      <c r="H7" s="22">
        <f>F7 * G7 * 220525.830072</f>
        <v>43664.114354256002</v>
      </c>
      <c r="I7" s="22">
        <f>F7 * G7 * 1300.330426</f>
        <v>257.465424348</v>
      </c>
      <c r="J7" s="22">
        <f>F7 * G7 * 0</f>
        <v>0</v>
      </c>
      <c r="K7" s="22">
        <f>F7 * G7 * 209940.590229</f>
        <v>41568.236865341998</v>
      </c>
      <c r="L7" s="22">
        <f>F7 * G7 * 50204.487216</f>
        <v>9940.4884687680005</v>
      </c>
      <c r="M7" s="22">
        <f>F7 * G7 * 44105.166014</f>
        <v>8732.8228707720009</v>
      </c>
      <c r="N7" s="27">
        <f>SUM(H7:M7)</f>
        <v>104163.127983486</v>
      </c>
      <c r="O7" s="35">
        <v>0.2005466503082157</v>
      </c>
    </row>
    <row r="8" spans="1:15">
      <c r="B8" s="17">
        <v>2</v>
      </c>
      <c r="C8" s="18" t="s">
        <v>25</v>
      </c>
      <c r="D8" s="19" t="s">
        <v>26</v>
      </c>
      <c r="E8" s="19" t="s">
        <v>27</v>
      </c>
      <c r="F8" s="20">
        <v>9.9000000000000005E-2</v>
      </c>
      <c r="G8" s="21">
        <v>13</v>
      </c>
      <c r="H8" s="22">
        <f>F8 * G8 * 24257.141928</f>
        <v>31218.941661336004</v>
      </c>
      <c r="I8" s="22">
        <f>F8 * G8 * 145.10592</f>
        <v>186.75131904000003</v>
      </c>
      <c r="J8" s="22">
        <f>F8 * G8 * 0</f>
        <v>0</v>
      </c>
      <c r="K8" s="22">
        <f>F8 * G8 * 23092.799115</f>
        <v>29720.432461005006</v>
      </c>
      <c r="L8" s="22">
        <f>F8 * G8 * 5522.55315</f>
        <v>7107.5259040500005</v>
      </c>
      <c r="M8" s="22">
        <f>F8 * G8 * 4851.428386</f>
        <v>6243.788332782</v>
      </c>
      <c r="N8" s="27">
        <f>SUM(H8:M8)</f>
        <v>74477.439678213006</v>
      </c>
      <c r="O8" s="35">
        <v>0.14339240132425549</v>
      </c>
    </row>
    <row r="9" spans="1:15">
      <c r="B9" s="17">
        <v>3</v>
      </c>
      <c r="C9" s="18" t="s">
        <v>28</v>
      </c>
      <c r="D9" s="19" t="s">
        <v>29</v>
      </c>
      <c r="E9" s="19" t="s">
        <v>30</v>
      </c>
      <c r="F9" s="20">
        <v>98.82</v>
      </c>
      <c r="G9" s="21">
        <v>1</v>
      </c>
      <c r="H9" s="22">
        <f>F9 * G9 * 200.986667</f>
        <v>19861.50243294</v>
      </c>
      <c r="I9" s="22">
        <f>F9 * G9 * 36.27648</f>
        <v>3584.8417535999997</v>
      </c>
      <c r="J9" s="22">
        <f>F9 * G9 * 26.2218</f>
        <v>2591.238276</v>
      </c>
      <c r="K9" s="22">
        <f>F9 * G9 * 191.339307</f>
        <v>18908.150317739997</v>
      </c>
      <c r="L9" s="22">
        <f>F9 * G9 * 52.224778</f>
        <v>5160.8525619599995</v>
      </c>
      <c r="M9" s="22">
        <f>F9 * G9 * 40.197333</f>
        <v>3972.3004470599999</v>
      </c>
      <c r="N9" s="27">
        <f>SUM(H9:M9)</f>
        <v>54078.885789299995</v>
      </c>
      <c r="O9" s="35">
        <v>0.10411879527239332</v>
      </c>
    </row>
    <row r="10" spans="1:15" s="14" customFormat="1" ht="12.75">
      <c r="B10" s="15"/>
      <c r="C10" s="16" t="s">
        <v>31</v>
      </c>
      <c r="D10" s="46" t="s">
        <v>32</v>
      </c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34"/>
    </row>
    <row r="11" spans="1:15">
      <c r="B11" s="17">
        <v>4</v>
      </c>
      <c r="C11" s="18" t="s">
        <v>33</v>
      </c>
      <c r="D11" s="19" t="s">
        <v>34</v>
      </c>
      <c r="E11" s="19" t="s">
        <v>35</v>
      </c>
      <c r="F11" s="20">
        <v>0.74</v>
      </c>
      <c r="G11" s="21">
        <v>52</v>
      </c>
      <c r="H11" s="22">
        <f>F11 * G11 * 455.542056</f>
        <v>17529.25831488</v>
      </c>
      <c r="I11" s="22">
        <f>F11 * G11 * 604.608</f>
        <v>23265.315839999996</v>
      </c>
      <c r="J11" s="22">
        <f>F11 * G11 * 0</f>
        <v>0</v>
      </c>
      <c r="K11" s="22">
        <f>F11 * G11 * 433.676036999999</f>
        <v>16687.853903759958</v>
      </c>
      <c r="L11" s="22">
        <f>F11 * G11 * 167.210591</f>
        <v>6434.2635416799994</v>
      </c>
      <c r="M11" s="22">
        <f>F11 * G11 * 91.108411</f>
        <v>3505.8516552799997</v>
      </c>
      <c r="N11" s="27">
        <f>SUM(H11:M11)</f>
        <v>67422.543255599958</v>
      </c>
      <c r="O11" s="35">
        <v>0.12980951577524655</v>
      </c>
    </row>
    <row r="12" spans="1:15" s="14" customFormat="1" ht="12.75">
      <c r="B12" s="15"/>
      <c r="C12" s="16" t="s">
        <v>36</v>
      </c>
      <c r="D12" s="44" t="s">
        <v>37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33"/>
    </row>
    <row r="13" spans="1:15">
      <c r="B13" s="17">
        <v>5</v>
      </c>
      <c r="C13" s="18" t="s">
        <v>38</v>
      </c>
      <c r="D13" s="19" t="s">
        <v>39</v>
      </c>
      <c r="E13" s="19" t="s">
        <v>40</v>
      </c>
      <c r="F13" s="20">
        <v>4.915</v>
      </c>
      <c r="G13" s="21">
        <v>13</v>
      </c>
      <c r="H13" s="22">
        <f>F13 * G13 * 434.74968</f>
        <v>27778.330803600002</v>
      </c>
      <c r="I13" s="22">
        <f>F13 * G13 * 1.753363</f>
        <v>112.031128885</v>
      </c>
      <c r="J13" s="22">
        <f>F13 * G13 * 0</f>
        <v>0</v>
      </c>
      <c r="K13" s="22">
        <f>F13 * G13 * 413.881695</f>
        <v>26444.970902025001</v>
      </c>
      <c r="L13" s="22">
        <f>F13 * G13 * 98.888808</f>
        <v>6318.5003871600002</v>
      </c>
      <c r="M13" s="22">
        <f>F13 * G13 * 86.949936</f>
        <v>5555.6661607200003</v>
      </c>
      <c r="N13" s="27">
        <f>SUM(H13:M13)</f>
        <v>66209.49938239</v>
      </c>
      <c r="O13" s="35">
        <v>0.12747402633518548</v>
      </c>
    </row>
    <row r="14" spans="1:15" s="14" customFormat="1" ht="12.75">
      <c r="B14" s="15"/>
      <c r="C14" s="16" t="s">
        <v>41</v>
      </c>
      <c r="D14" s="46" t="s">
        <v>42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34"/>
    </row>
    <row r="15" spans="1:15">
      <c r="B15" s="17">
        <v>6</v>
      </c>
      <c r="C15" s="18" t="s">
        <v>43</v>
      </c>
      <c r="D15" s="19" t="s">
        <v>44</v>
      </c>
      <c r="E15" s="19" t="s">
        <v>45</v>
      </c>
      <c r="F15" s="20">
        <v>103</v>
      </c>
      <c r="G15" s="21">
        <v>0.5</v>
      </c>
      <c r="H15" s="22">
        <f>F15 * G15 * 86.395555</f>
        <v>4449.3710824999998</v>
      </c>
      <c r="I15" s="22">
        <f>F15 * G15 * 31.509672</f>
        <v>1622.748108</v>
      </c>
      <c r="J15" s="22">
        <f t="shared" ref="J15:J21" si="0">F15 * G15 * 0</f>
        <v>0</v>
      </c>
      <c r="K15" s="22">
        <f>F15 * G15 * 82.248569</f>
        <v>4235.8013035000004</v>
      </c>
      <c r="L15" s="22">
        <f>F15 * G15 * 22.939172</f>
        <v>1181.367358</v>
      </c>
      <c r="M15" s="22">
        <f>F15 * G15 * 17.279111</f>
        <v>889.87421649999999</v>
      </c>
      <c r="N15" s="27">
        <f t="shared" ref="N15:N21" si="1">SUM(H15:M15)</f>
        <v>12379.1620685</v>
      </c>
      <c r="O15" s="35">
        <v>2.3833764735384944E-2</v>
      </c>
    </row>
    <row r="16" spans="1:15">
      <c r="B16" s="17">
        <v>7</v>
      </c>
      <c r="C16" s="18" t="s">
        <v>46</v>
      </c>
      <c r="D16" s="19" t="s">
        <v>47</v>
      </c>
      <c r="E16" s="19" t="s">
        <v>48</v>
      </c>
      <c r="F16" s="20">
        <v>32</v>
      </c>
      <c r="G16" s="21">
        <v>0.5</v>
      </c>
      <c r="H16" s="22">
        <f>F16 * G16 * 121.412354</f>
        <v>1942.5976639999999</v>
      </c>
      <c r="I16" s="22">
        <f>F16 * G16 * 40.520534</f>
        <v>648.32854399999997</v>
      </c>
      <c r="J16" s="22">
        <f t="shared" si="0"/>
        <v>0</v>
      </c>
      <c r="K16" s="22">
        <f>F16 * G16 * 115.584561</f>
        <v>1849.3529759999999</v>
      </c>
      <c r="L16" s="22">
        <f>F16 * G16 * 31.839892</f>
        <v>509.43827199999998</v>
      </c>
      <c r="M16" s="22">
        <f>F16 * G16 * 24.282471</f>
        <v>388.51953600000002</v>
      </c>
      <c r="N16" s="27">
        <f t="shared" si="1"/>
        <v>5338.2369920000001</v>
      </c>
      <c r="O16" s="35">
        <v>1.0277778404146355E-2</v>
      </c>
    </row>
    <row r="17" spans="2:15">
      <c r="B17" s="17">
        <v>8</v>
      </c>
      <c r="C17" s="18" t="s">
        <v>49</v>
      </c>
      <c r="D17" s="19" t="s">
        <v>50</v>
      </c>
      <c r="E17" s="19" t="s">
        <v>48</v>
      </c>
      <c r="F17" s="20"/>
      <c r="G17" s="21">
        <v>0.5</v>
      </c>
      <c r="H17" s="22">
        <f>F17 * G17 * 123.463238</f>
        <v>0</v>
      </c>
      <c r="I17" s="22">
        <f>F17 * G17 * 41.514018</f>
        <v>0</v>
      </c>
      <c r="J17" s="22">
        <f t="shared" si="0"/>
        <v>0</v>
      </c>
      <c r="K17" s="22">
        <f>F17 * G17 * 117.537003</f>
        <v>0</v>
      </c>
      <c r="L17" s="22">
        <f>F17 * G17 * 32.410329</f>
        <v>0</v>
      </c>
      <c r="M17" s="22">
        <f>F17 * G17 * 24.692648</f>
        <v>0</v>
      </c>
      <c r="N17" s="27">
        <f t="shared" si="1"/>
        <v>0</v>
      </c>
      <c r="O17" s="35">
        <v>0</v>
      </c>
    </row>
    <row r="18" spans="2:15">
      <c r="B18" s="17">
        <v>9</v>
      </c>
      <c r="C18" s="18" t="s">
        <v>51</v>
      </c>
      <c r="D18" s="19" t="s">
        <v>52</v>
      </c>
      <c r="E18" s="19" t="s">
        <v>53</v>
      </c>
      <c r="F18" s="20">
        <v>8</v>
      </c>
      <c r="G18" s="21">
        <v>0.5</v>
      </c>
      <c r="H18" s="22">
        <f>F18 * G18 * 123.668327</f>
        <v>494.67330800000002</v>
      </c>
      <c r="I18" s="22">
        <f>F18 * G18 * 46.331865</f>
        <v>185.32746</v>
      </c>
      <c r="J18" s="22">
        <f t="shared" si="0"/>
        <v>0</v>
      </c>
      <c r="K18" s="22">
        <f>F18 * G18 * 117.732248</f>
        <v>470.92899199999999</v>
      </c>
      <c r="L18" s="22">
        <f>F18 * G18 * 32.965175</f>
        <v>131.86070000000001</v>
      </c>
      <c r="M18" s="22">
        <f>F18 * G18 * 24.733665</f>
        <v>98.934659999999994</v>
      </c>
      <c r="N18" s="27">
        <f t="shared" si="1"/>
        <v>1381.7251199999998</v>
      </c>
      <c r="O18" s="35">
        <v>2.6602536792736174E-3</v>
      </c>
    </row>
    <row r="19" spans="2:15">
      <c r="B19" s="17">
        <v>10</v>
      </c>
      <c r="C19" s="18" t="s">
        <v>54</v>
      </c>
      <c r="D19" s="19" t="s">
        <v>55</v>
      </c>
      <c r="E19" s="19" t="s">
        <v>56</v>
      </c>
      <c r="F19" s="20">
        <v>26</v>
      </c>
      <c r="G19" s="21">
        <v>0.5</v>
      </c>
      <c r="H19" s="22">
        <f>F19 * G19 * 133.307483</f>
        <v>1732.9972789999999</v>
      </c>
      <c r="I19" s="22">
        <f>F19 * G19 * 44.88936</f>
        <v>583.56168000000002</v>
      </c>
      <c r="J19" s="22">
        <f t="shared" si="0"/>
        <v>0</v>
      </c>
      <c r="K19" s="22">
        <f>F19 * G19 * 126.908723999999</f>
        <v>1649.813411999987</v>
      </c>
      <c r="L19" s="22">
        <f>F19 * G19 * 35.001425</f>
        <v>455.01852499999995</v>
      </c>
      <c r="M19" s="22">
        <f>F19 * G19 * 26.661497</f>
        <v>346.59946100000002</v>
      </c>
      <c r="N19" s="27">
        <f t="shared" si="1"/>
        <v>4767.990356999986</v>
      </c>
      <c r="O19" s="35">
        <v>9.1798750028879422E-3</v>
      </c>
    </row>
    <row r="20" spans="2:15">
      <c r="B20" s="17">
        <v>11</v>
      </c>
      <c r="C20" s="18" t="s">
        <v>57</v>
      </c>
      <c r="D20" s="19" t="s">
        <v>58</v>
      </c>
      <c r="E20" s="19" t="s">
        <v>59</v>
      </c>
      <c r="F20" s="20">
        <v>26</v>
      </c>
      <c r="G20" s="21">
        <v>0.5</v>
      </c>
      <c r="H20" s="22">
        <f>F20 * G20 * 285.072926</f>
        <v>3705.948038</v>
      </c>
      <c r="I20" s="22">
        <f>F20 * G20 * 41.235715</f>
        <v>536.06429500000002</v>
      </c>
      <c r="J20" s="22">
        <f t="shared" si="0"/>
        <v>0</v>
      </c>
      <c r="K20" s="22">
        <f>F20 * G20 * 271.389426</f>
        <v>3528.0625380000001</v>
      </c>
      <c r="L20" s="22">
        <f>F20 * G20 * 69.0721849999999</f>
        <v>897.93840499999874</v>
      </c>
      <c r="M20" s="22">
        <f>F20 * G20 * 57.014585</f>
        <v>741.18960499999991</v>
      </c>
      <c r="N20" s="27">
        <f t="shared" si="1"/>
        <v>9409.2028809999974</v>
      </c>
      <c r="O20" s="35">
        <v>1.8115662964289285E-2</v>
      </c>
    </row>
    <row r="21" spans="2:15">
      <c r="B21" s="17">
        <v>12</v>
      </c>
      <c r="C21" s="18" t="s">
        <v>60</v>
      </c>
      <c r="D21" s="19" t="s">
        <v>61</v>
      </c>
      <c r="E21" s="19" t="s">
        <v>62</v>
      </c>
      <c r="F21" s="20">
        <v>14</v>
      </c>
      <c r="G21" s="21">
        <v>0.5</v>
      </c>
      <c r="H21" s="22">
        <f>F21 * G21 * 167.352164</f>
        <v>1171.465148</v>
      </c>
      <c r="I21" s="22">
        <f>F21 * G21 * 54.932077</f>
        <v>384.524539</v>
      </c>
      <c r="J21" s="22">
        <f t="shared" si="0"/>
        <v>0</v>
      </c>
      <c r="K21" s="22">
        <f>F21 * G21 * 159.319261</f>
        <v>1115.234827</v>
      </c>
      <c r="L21" s="22">
        <f>F21 * G21 * 43.7903</f>
        <v>306.53210000000001</v>
      </c>
      <c r="M21" s="22">
        <f>F21 * G21 * 33.470433</f>
        <v>234.29303099999998</v>
      </c>
      <c r="N21" s="27">
        <f t="shared" si="1"/>
        <v>3212.0496450000001</v>
      </c>
      <c r="O21" s="35">
        <v>6.1842017362474877E-3</v>
      </c>
    </row>
    <row r="22" spans="2:15" s="14" customFormat="1" ht="12.75">
      <c r="B22" s="15"/>
      <c r="C22" s="16" t="s">
        <v>63</v>
      </c>
      <c r="D22" s="46" t="s">
        <v>64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34"/>
    </row>
    <row r="23" spans="2:15">
      <c r="B23" s="17">
        <v>13</v>
      </c>
      <c r="C23" s="18" t="s">
        <v>65</v>
      </c>
      <c r="D23" s="19" t="s">
        <v>66</v>
      </c>
      <c r="E23" s="19" t="s">
        <v>45</v>
      </c>
      <c r="F23" s="20">
        <v>103</v>
      </c>
      <c r="G23" s="21">
        <v>0.5</v>
      </c>
      <c r="H23" s="22">
        <f>F23 * G23 * 635.774152</f>
        <v>32742.368827999999</v>
      </c>
      <c r="I23" s="22">
        <f>F23 * G23 * 1391.551504</f>
        <v>71664.902455999996</v>
      </c>
      <c r="J23" s="22">
        <f>F23 * G23 * 8.67416</f>
        <v>446.71924000000001</v>
      </c>
      <c r="K23" s="22">
        <f>F23 * G23 * 605.256993</f>
        <v>31170.735139499997</v>
      </c>
      <c r="L23" s="22">
        <f>F23 * G23 * 292.067428</f>
        <v>15041.472542</v>
      </c>
      <c r="M23" s="22">
        <f>F23 * G23 * 127.15483</f>
        <v>6548.4737450000002</v>
      </c>
      <c r="N23" s="27">
        <f t="shared" ref="N23:N30" si="2">SUM(H23:M23)</f>
        <v>157614.67195049999</v>
      </c>
      <c r="O23" s="35">
        <v>0.30345761605884525</v>
      </c>
    </row>
    <row r="24" spans="2:15">
      <c r="B24" s="17">
        <v>14</v>
      </c>
      <c r="C24" s="18" t="s">
        <v>67</v>
      </c>
      <c r="D24" s="19" t="s">
        <v>68</v>
      </c>
      <c r="E24" s="19" t="s">
        <v>48</v>
      </c>
      <c r="F24" s="20">
        <v>32</v>
      </c>
      <c r="G24" s="21">
        <v>0.5</v>
      </c>
      <c r="H24" s="22">
        <f>F24 * G24 * 922.897962</f>
        <v>14766.367392</v>
      </c>
      <c r="I24" s="22">
        <f>F24 * G24 * 666.831338</f>
        <v>10669.301407999999</v>
      </c>
      <c r="J24" s="22">
        <f>F24 * G24 * 8.67416</f>
        <v>138.78656000000001</v>
      </c>
      <c r="K24" s="22">
        <f>F24 * G24 * 878.59886</f>
        <v>14057.581759999999</v>
      </c>
      <c r="L24" s="22">
        <f>F24 * G24 * 280.796892</f>
        <v>4492.7502720000002</v>
      </c>
      <c r="M24" s="22">
        <f>F24 * G24 * 184.579592</f>
        <v>2953.2734719999999</v>
      </c>
      <c r="N24" s="27">
        <f t="shared" si="2"/>
        <v>47078.060863999999</v>
      </c>
      <c r="O24" s="35">
        <v>9.0640014293525542E-2</v>
      </c>
    </row>
    <row r="25" spans="2:15">
      <c r="B25" s="17">
        <v>15</v>
      </c>
      <c r="C25" s="18" t="s">
        <v>69</v>
      </c>
      <c r="D25" s="19" t="s">
        <v>70</v>
      </c>
      <c r="E25" s="19" t="s">
        <v>48</v>
      </c>
      <c r="F25" s="20"/>
      <c r="G25" s="21">
        <v>0.5</v>
      </c>
      <c r="H25" s="22">
        <f>F25 * G25 * 578.34939</f>
        <v>0</v>
      </c>
      <c r="I25" s="22">
        <f>F25 * G25 * 377.06907</f>
        <v>0</v>
      </c>
      <c r="J25" s="22">
        <f>F25 * G25 * 0</f>
        <v>0</v>
      </c>
      <c r="K25" s="22">
        <f>F25 * G25 * 550.58862</f>
        <v>0</v>
      </c>
      <c r="L25" s="22">
        <f>F25 * G25 * 171.086919</f>
        <v>0</v>
      </c>
      <c r="M25" s="22">
        <f>F25 * G25 * 115.669878</f>
        <v>0</v>
      </c>
      <c r="N25" s="27">
        <f t="shared" si="2"/>
        <v>0</v>
      </c>
      <c r="O25" s="35">
        <v>0</v>
      </c>
    </row>
    <row r="26" spans="2:15">
      <c r="B26" s="17">
        <v>16</v>
      </c>
      <c r="C26" s="18" t="s">
        <v>71</v>
      </c>
      <c r="D26" s="19" t="s">
        <v>72</v>
      </c>
      <c r="E26" s="19" t="s">
        <v>53</v>
      </c>
      <c r="F26" s="20">
        <v>8</v>
      </c>
      <c r="G26" s="21">
        <v>0.5</v>
      </c>
      <c r="H26" s="22">
        <f>F26 * G26 * 430.685716</f>
        <v>1722.7428640000001</v>
      </c>
      <c r="I26" s="22">
        <f>F26 * G26 * 312.588741</f>
        <v>1250.3549640000001</v>
      </c>
      <c r="J26" s="22">
        <f>F26 * G26 * 0</f>
        <v>0</v>
      </c>
      <c r="K26" s="22">
        <f>F26 * G26 * 410.012800999999</f>
        <v>1640.051203999996</v>
      </c>
      <c r="L26" s="22">
        <f>F26 * G26 * 130.759274</f>
        <v>523.03709600000002</v>
      </c>
      <c r="M26" s="22">
        <f>F26 * G26 * 86.137143</f>
        <v>344.54857199999998</v>
      </c>
      <c r="N26" s="27">
        <f t="shared" si="2"/>
        <v>5480.7346999999954</v>
      </c>
      <c r="O26" s="35">
        <v>1.0552131129234718E-2</v>
      </c>
    </row>
    <row r="27" spans="2:15">
      <c r="B27" s="17">
        <v>17</v>
      </c>
      <c r="C27" s="18" t="s">
        <v>73</v>
      </c>
      <c r="D27" s="19" t="s">
        <v>74</v>
      </c>
      <c r="E27" s="19" t="s">
        <v>56</v>
      </c>
      <c r="F27" s="20">
        <v>26</v>
      </c>
      <c r="G27" s="21">
        <v>0.5</v>
      </c>
      <c r="H27" s="22">
        <f>F27 * G27 * 5675.262017</f>
        <v>73778.406220999997</v>
      </c>
      <c r="I27" s="22">
        <f>F27 * G27 * 641.52867</f>
        <v>8339.8727099999996</v>
      </c>
      <c r="J27" s="22">
        <f>F27 * G27 * 45.26808</f>
        <v>588.48504000000003</v>
      </c>
      <c r="K27" s="22">
        <f>F27 * G27 * 5402.84944</f>
        <v>70237.042719999998</v>
      </c>
      <c r="L27" s="22">
        <f>F27 * G27 * 1360.94584399999</f>
        <v>17692.295971999873</v>
      </c>
      <c r="M27" s="22">
        <f>F27 * G27 * 1135.052403</f>
        <v>14755.681239</v>
      </c>
      <c r="N27" s="27">
        <f t="shared" si="2"/>
        <v>185391.78390199988</v>
      </c>
      <c r="O27" s="35">
        <v>0.35693725770317802</v>
      </c>
    </row>
    <row r="28" spans="2:15">
      <c r="B28" s="17">
        <v>18</v>
      </c>
      <c r="C28" s="18" t="s">
        <v>75</v>
      </c>
      <c r="D28" s="19" t="s">
        <v>76</v>
      </c>
      <c r="E28" s="19" t="s">
        <v>59</v>
      </c>
      <c r="F28" s="20">
        <v>26</v>
      </c>
      <c r="G28" s="21">
        <v>0.5</v>
      </c>
      <c r="H28" s="22">
        <f>F28 * G28 * 5311.603361</f>
        <v>69050.843693000003</v>
      </c>
      <c r="I28" s="22">
        <f>F28 * G28 * 459.416082</f>
        <v>5972.4090660000002</v>
      </c>
      <c r="J28" s="22">
        <f>F28 * G28 * 42.482352</f>
        <v>552.27057600000001</v>
      </c>
      <c r="K28" s="22">
        <f>F28 * G28 * 5056.6464</f>
        <v>65736.403200000001</v>
      </c>
      <c r="L28" s="22">
        <f>F28 * G28 * 1258.875465</f>
        <v>16365.381045000002</v>
      </c>
      <c r="M28" s="22">
        <f>F28 * G28 * 1062.320672</f>
        <v>13810.168736000001</v>
      </c>
      <c r="N28" s="27">
        <f t="shared" si="2"/>
        <v>171487.47631599996</v>
      </c>
      <c r="O28" s="35">
        <v>0.33016711009711269</v>
      </c>
    </row>
    <row r="29" spans="2:15">
      <c r="B29" s="17">
        <v>19</v>
      </c>
      <c r="C29" s="18" t="s">
        <v>77</v>
      </c>
      <c r="D29" s="19" t="s">
        <v>78</v>
      </c>
      <c r="E29" s="19" t="s">
        <v>62</v>
      </c>
      <c r="F29" s="20">
        <v>14</v>
      </c>
      <c r="G29" s="21">
        <v>0.5</v>
      </c>
      <c r="H29" s="22">
        <f>F29 * G29 * 471.94157</f>
        <v>3303.5909900000001</v>
      </c>
      <c r="I29" s="22">
        <f>F29 * G29 * 31.7618</f>
        <v>222.33260000000001</v>
      </c>
      <c r="J29" s="22">
        <f>F29 * G29 * 0</f>
        <v>0</v>
      </c>
      <c r="K29" s="22">
        <f>F29 * G29 * 449.288375</f>
        <v>3145.0186249999997</v>
      </c>
      <c r="L29" s="22">
        <f>F29 * G29 * 110.498596</f>
        <v>773.49017200000003</v>
      </c>
      <c r="M29" s="22">
        <f>F29 * G29 * 94.388314</f>
        <v>660.71819799999992</v>
      </c>
      <c r="N29" s="27">
        <f t="shared" si="2"/>
        <v>8105.1505849999994</v>
      </c>
      <c r="O29" s="35">
        <v>1.5604953802108601E-2</v>
      </c>
    </row>
    <row r="30" spans="2:15">
      <c r="B30" s="17">
        <v>20</v>
      </c>
      <c r="C30" s="18" t="s">
        <v>79</v>
      </c>
      <c r="D30" s="19" t="s">
        <v>80</v>
      </c>
      <c r="E30" s="19" t="s">
        <v>53</v>
      </c>
      <c r="F30" s="20">
        <v>8</v>
      </c>
      <c r="G30" s="21">
        <v>1</v>
      </c>
      <c r="H30" s="22">
        <f>F30 * G30 * 21.124109</f>
        <v>168.99287200000001</v>
      </c>
      <c r="I30" s="22">
        <f>F30 * G30 * 934.95778</f>
        <v>7479.6622399999997</v>
      </c>
      <c r="J30" s="22">
        <f>F30 * G30 * 0</f>
        <v>0</v>
      </c>
      <c r="K30" s="22">
        <f>F30 * G30 * 20.110152</f>
        <v>160.88121599999999</v>
      </c>
      <c r="L30" s="22">
        <f>F30 * G30 * 103.433979</f>
        <v>827.47183199999995</v>
      </c>
      <c r="M30" s="22">
        <f>F30 * G30 * 4.224822</f>
        <v>33.798575999999997</v>
      </c>
      <c r="N30" s="27">
        <f t="shared" si="2"/>
        <v>8670.8067359999986</v>
      </c>
      <c r="O30" s="35">
        <v>1.6694019083704915E-2</v>
      </c>
    </row>
    <row r="31" spans="2:15" s="14" customFormat="1" ht="12.75">
      <c r="B31" s="15"/>
      <c r="C31" s="16" t="s">
        <v>81</v>
      </c>
      <c r="D31" s="44" t="s">
        <v>82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33"/>
    </row>
    <row r="32" spans="2:15" ht="38.25">
      <c r="B32" s="17">
        <v>21</v>
      </c>
      <c r="C32" s="18" t="s">
        <v>83</v>
      </c>
      <c r="D32" s="19" t="s">
        <v>84</v>
      </c>
      <c r="E32" s="19" t="s">
        <v>85</v>
      </c>
      <c r="F32" s="20">
        <v>0.28999999999999998</v>
      </c>
      <c r="G32" s="21">
        <v>10</v>
      </c>
      <c r="H32" s="22">
        <f>F32 * G32 * 22366.925928</f>
        <v>64864.0851912</v>
      </c>
      <c r="I32" s="22">
        <f>F32 * G32 * 0</f>
        <v>0</v>
      </c>
      <c r="J32" s="22">
        <f>F32 * G32 * 0</f>
        <v>0</v>
      </c>
      <c r="K32" s="22">
        <f>F32 * G32 * 21293.3134829999</f>
        <v>61750.609100699709</v>
      </c>
      <c r="L32" s="22">
        <f>F32 * G32 * 5078.097395</f>
        <v>14726.4824455</v>
      </c>
      <c r="M32" s="22">
        <f>F32 * G32 * 4473.385186</f>
        <v>12972.817039400001</v>
      </c>
      <c r="N32" s="27">
        <f>SUM(H32:M32)</f>
        <v>154313.9937767997</v>
      </c>
      <c r="O32" s="35">
        <v>0.29710277664209911</v>
      </c>
    </row>
    <row r="33" spans="2:15" ht="38.25">
      <c r="B33" s="17">
        <v>22</v>
      </c>
      <c r="C33" s="18" t="s">
        <v>86</v>
      </c>
      <c r="D33" s="19" t="s">
        <v>87</v>
      </c>
      <c r="E33" s="19" t="s">
        <v>85</v>
      </c>
      <c r="F33" s="20">
        <v>4.9000000000000002E-2</v>
      </c>
      <c r="G33" s="21">
        <v>10</v>
      </c>
      <c r="H33" s="22">
        <f>F33 * G33 * 23312.033928</f>
        <v>11422.896624720001</v>
      </c>
      <c r="I33" s="22">
        <f>F33 * G33 * 0</f>
        <v>0</v>
      </c>
      <c r="J33" s="22">
        <f>F33 * G33 * 0</f>
        <v>0</v>
      </c>
      <c r="K33" s="22">
        <f>F33 * G33 * 22193.056299</f>
        <v>10874.597586509999</v>
      </c>
      <c r="L33" s="22">
        <f>F33 * G33 * 5292.670935</f>
        <v>2593.4087581499998</v>
      </c>
      <c r="M33" s="22">
        <f>F33 * G33 * 4662.406786</f>
        <v>2284.5793251399996</v>
      </c>
      <c r="N33" s="27">
        <f>SUM(H33:M33)</f>
        <v>27175.482294519996</v>
      </c>
      <c r="O33" s="35">
        <v>5.2321316095079666E-2</v>
      </c>
    </row>
    <row r="34" spans="2:15" s="14" customFormat="1" ht="12.75">
      <c r="B34" s="15"/>
      <c r="C34" s="16" t="s">
        <v>88</v>
      </c>
      <c r="D34" s="44" t="s">
        <v>89</v>
      </c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33"/>
    </row>
    <row r="35" spans="2:15">
      <c r="B35" s="17">
        <v>23</v>
      </c>
      <c r="C35" s="18" t="s">
        <v>90</v>
      </c>
      <c r="D35" s="19" t="s">
        <v>91</v>
      </c>
      <c r="E35" s="19" t="s">
        <v>92</v>
      </c>
      <c r="F35" s="20">
        <v>10</v>
      </c>
      <c r="G35" s="21">
        <v>1</v>
      </c>
      <c r="H35" s="22">
        <f>F35 * G35 * 157.454993</f>
        <v>1574.5499300000001</v>
      </c>
      <c r="I35" s="22">
        <f>F35 * G35 * 0</f>
        <v>0</v>
      </c>
      <c r="J35" s="22">
        <f>F35 * G35 * 0</f>
        <v>0</v>
      </c>
      <c r="K35" s="22">
        <f>F35 * G35 * 149.897153</f>
        <v>1498.97153</v>
      </c>
      <c r="L35" s="22">
        <f>F35 * G35 * 35.747952</f>
        <v>357.47951999999998</v>
      </c>
      <c r="M35" s="22">
        <f>F35 * G35 * 31.490999</f>
        <v>314.90998999999999</v>
      </c>
      <c r="N35" s="27">
        <f>SUM(H35:M35)</f>
        <v>3745.9109699999999</v>
      </c>
      <c r="O35" s="35">
        <v>7.2120520181133468E-3</v>
      </c>
    </row>
    <row r="36" spans="2:15">
      <c r="B36" s="17">
        <v>24</v>
      </c>
      <c r="C36" s="18" t="s">
        <v>93</v>
      </c>
      <c r="D36" s="19" t="s">
        <v>94</v>
      </c>
      <c r="E36" s="19" t="s">
        <v>95</v>
      </c>
      <c r="F36" s="20">
        <v>15</v>
      </c>
      <c r="G36" s="21">
        <v>5</v>
      </c>
      <c r="H36" s="22">
        <f>F36 * G36 * 47.2554</f>
        <v>3544.1550000000002</v>
      </c>
      <c r="I36" s="22">
        <f>F36 * G36 * 82.29888</f>
        <v>6172.4160000000002</v>
      </c>
      <c r="J36" s="22">
        <f>F36 * G36 * 0</f>
        <v>0</v>
      </c>
      <c r="K36" s="22">
        <f>F36 * G36 * 44.987141</f>
        <v>3374.0355749999999</v>
      </c>
      <c r="L36" s="22">
        <f>F36 * G36 * 19.411209</f>
        <v>1455.8406749999999</v>
      </c>
      <c r="M36" s="22">
        <f>F36 * G36 * 9.45108</f>
        <v>708.8309999999999</v>
      </c>
      <c r="N36" s="27">
        <f>SUM(H36:M36)</f>
        <v>15255.278249999999</v>
      </c>
      <c r="O36" s="35">
        <v>2.9371189323752975E-2</v>
      </c>
    </row>
    <row r="37" spans="2:15" ht="25.5">
      <c r="B37" s="17">
        <v>25</v>
      </c>
      <c r="C37" s="18" t="s">
        <v>96</v>
      </c>
      <c r="D37" s="19" t="s">
        <v>97</v>
      </c>
      <c r="E37" s="19" t="s">
        <v>98</v>
      </c>
      <c r="F37" s="20">
        <v>10</v>
      </c>
      <c r="G37" s="21">
        <v>1</v>
      </c>
      <c r="H37" s="22">
        <f>F37 * G37 * 200.362896</f>
        <v>2003.62896</v>
      </c>
      <c r="I37" s="22">
        <f>F37 * G37 * 0</f>
        <v>0</v>
      </c>
      <c r="J37" s="22">
        <f>F37 * G37 * 0</f>
        <v>0</v>
      </c>
      <c r="K37" s="22">
        <f>F37 * G37 * 190.745477</f>
        <v>1907.4547699999998</v>
      </c>
      <c r="L37" s="22">
        <f>F37 * G37 * 45.489591</f>
        <v>454.89590999999996</v>
      </c>
      <c r="M37" s="22">
        <f>F37 * G37 * 40.072579</f>
        <v>400.72578999999996</v>
      </c>
      <c r="N37" s="27">
        <f>SUM(H37:M37)</f>
        <v>4766.70543</v>
      </c>
      <c r="O37" s="35">
        <v>9.1774011159115581E-3</v>
      </c>
    </row>
    <row r="38" spans="2:15" s="14" customFormat="1" ht="12.75">
      <c r="B38" s="15"/>
      <c r="C38" s="16" t="s">
        <v>99</v>
      </c>
      <c r="D38" s="44" t="s">
        <v>100</v>
      </c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33"/>
    </row>
    <row r="39" spans="2:15" ht="25.5">
      <c r="B39" s="17">
        <v>26</v>
      </c>
      <c r="C39" s="18" t="s">
        <v>101</v>
      </c>
      <c r="D39" s="19" t="s">
        <v>102</v>
      </c>
      <c r="E39" s="19" t="s">
        <v>103</v>
      </c>
      <c r="F39" s="20">
        <v>0.13</v>
      </c>
      <c r="G39" s="21">
        <v>2</v>
      </c>
      <c r="H39" s="22">
        <f>F39 * G39 * 0</f>
        <v>0</v>
      </c>
      <c r="I39" s="22">
        <f>F39 * G39 * 0</f>
        <v>0</v>
      </c>
      <c r="J39" s="22">
        <f>F39 * G39 * 214.685856</f>
        <v>55.818322560000006</v>
      </c>
      <c r="K39" s="22">
        <f>F39 * G39 * 55.247252</f>
        <v>14.364285520000001</v>
      </c>
      <c r="L39" s="22">
        <f>F39 * G39 * 29.702435</f>
        <v>7.7226331000000004</v>
      </c>
      <c r="M39" s="22">
        <f>F39 * G39 * 11.606566</f>
        <v>3.0177071600000005</v>
      </c>
      <c r="N39" s="27">
        <f>SUM(H39:M39)</f>
        <v>80.922948340000005</v>
      </c>
      <c r="O39" s="35">
        <v>1.5580202454389331E-4</v>
      </c>
    </row>
    <row r="40" spans="2:15" ht="25.5">
      <c r="B40" s="17">
        <v>27</v>
      </c>
      <c r="C40" s="18" t="s">
        <v>104</v>
      </c>
      <c r="D40" s="19" t="s">
        <v>105</v>
      </c>
      <c r="E40" s="19" t="s">
        <v>103</v>
      </c>
      <c r="F40" s="20">
        <v>0.13</v>
      </c>
      <c r="G40" s="21">
        <v>2</v>
      </c>
      <c r="H40" s="22">
        <f>F40 * G40 * 0</f>
        <v>0</v>
      </c>
      <c r="I40" s="22">
        <f>F40 * G40 * 0</f>
        <v>0</v>
      </c>
      <c r="J40" s="22">
        <f>F40 * G40 * 100.65264</f>
        <v>26.169686400000003</v>
      </c>
      <c r="K40" s="22">
        <f>F40 * G40 * 43.408555</f>
        <v>11.286224300000001</v>
      </c>
      <c r="L40" s="22">
        <f>F40 * G40 * 16.160557</f>
        <v>4.20174482</v>
      </c>
      <c r="M40" s="22">
        <f>F40 * G40 * 9.119444</f>
        <v>2.3710554400000001</v>
      </c>
      <c r="N40" s="27">
        <f>SUM(H40:M40)</f>
        <v>44.028710960000005</v>
      </c>
      <c r="O40" s="35">
        <v>8.4769060524147286E-5</v>
      </c>
    </row>
    <row r="41" spans="2:15">
      <c r="B41" s="17">
        <v>28</v>
      </c>
      <c r="C41" s="18" t="s">
        <v>106</v>
      </c>
      <c r="D41" s="19" t="s">
        <v>107</v>
      </c>
      <c r="E41" s="19" t="s">
        <v>108</v>
      </c>
      <c r="F41" s="20">
        <v>9</v>
      </c>
      <c r="G41" s="21">
        <v>2</v>
      </c>
      <c r="H41" s="22">
        <f>F41 * G41 * 0</f>
        <v>0</v>
      </c>
      <c r="I41" s="22">
        <f>F41 * G41 * 0</f>
        <v>0</v>
      </c>
      <c r="J41" s="22">
        <f>F41 * G41 * 6.100631</f>
        <v>109.811358</v>
      </c>
      <c r="K41" s="22">
        <f>F41 * G41 * 2.022733</f>
        <v>36.409193999999999</v>
      </c>
      <c r="L41" s="22">
        <f>F41 * G41 * 0.901847</f>
        <v>16.233245999999998</v>
      </c>
      <c r="M41" s="22">
        <f>F41 * G41 * 0.424944</f>
        <v>7.6489919999999998</v>
      </c>
      <c r="N41" s="27">
        <f>SUM(H41:M41)</f>
        <v>170.10279</v>
      </c>
      <c r="O41" s="35">
        <v>3.2750115518794909E-4</v>
      </c>
    </row>
    <row r="42" spans="2:15">
      <c r="B42" s="17">
        <v>29</v>
      </c>
      <c r="C42" s="18" t="s">
        <v>109</v>
      </c>
      <c r="D42" s="19" t="s">
        <v>110</v>
      </c>
      <c r="E42" s="19" t="s">
        <v>111</v>
      </c>
      <c r="F42" s="20">
        <v>138.80000000000001</v>
      </c>
      <c r="G42" s="21">
        <v>1</v>
      </c>
      <c r="H42" s="22">
        <f>F42 * G42 * 75.60864</f>
        <v>10494.479232</v>
      </c>
      <c r="I42" s="22">
        <f>F42 * G42 * 0</f>
        <v>0</v>
      </c>
      <c r="J42" s="22">
        <f>F42 * G42 * 0</f>
        <v>0</v>
      </c>
      <c r="K42" s="22">
        <f>F42 * G42 * 71.9794249999999</f>
        <v>9990.7441899999885</v>
      </c>
      <c r="L42" s="22">
        <f>F42 * G42 * 17.1658829999999</f>
        <v>2382.6245603999864</v>
      </c>
      <c r="M42" s="22">
        <f>F42 * G42 * 15.121728</f>
        <v>2098.8958464000002</v>
      </c>
      <c r="N42" s="27">
        <f>SUM(H42:M42)</f>
        <v>24966.743828799972</v>
      </c>
      <c r="O42" s="35">
        <v>4.8068802664633481E-2</v>
      </c>
    </row>
    <row r="43" spans="2:15" s="11" customFormat="1" ht="15">
      <c r="B43" s="12"/>
      <c r="C43" s="13" t="s">
        <v>112</v>
      </c>
      <c r="D43" s="42" t="s">
        <v>113</v>
      </c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36"/>
    </row>
    <row r="44" spans="2:15" s="14" customFormat="1" ht="12.75">
      <c r="B44" s="15"/>
      <c r="C44" s="16" t="s">
        <v>114</v>
      </c>
      <c r="D44" s="44" t="s">
        <v>115</v>
      </c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33"/>
    </row>
    <row r="45" spans="2:15">
      <c r="B45" s="17">
        <v>30</v>
      </c>
      <c r="C45" s="18" t="s">
        <v>116</v>
      </c>
      <c r="D45" s="19" t="s">
        <v>117</v>
      </c>
      <c r="E45" s="19" t="s">
        <v>118</v>
      </c>
      <c r="F45" s="20">
        <v>175</v>
      </c>
      <c r="G45" s="21">
        <v>0.1</v>
      </c>
      <c r="H45" s="22">
        <f>F45 * G45 * 67.679184</f>
        <v>1184.3857200000002</v>
      </c>
      <c r="I45" s="22">
        <f>F45 * G45 * 268.14146</f>
        <v>4692.4755500000001</v>
      </c>
      <c r="J45" s="22">
        <f>F45 * G45 * 0</f>
        <v>0</v>
      </c>
      <c r="K45" s="22">
        <f>F45 * G45 * 64.430584</f>
        <v>1127.53522</v>
      </c>
      <c r="L45" s="22">
        <f>F45 * G45 * 43.654535</f>
        <v>763.9543625</v>
      </c>
      <c r="M45" s="22">
        <f>F45 * G45 * 13.535837</f>
        <v>236.87714750000001</v>
      </c>
      <c r="N45" s="27">
        <f>SUM(H45:M45)</f>
        <v>8005.2280000000001</v>
      </c>
      <c r="O45" s="35">
        <v>1.541257152538718E-2</v>
      </c>
    </row>
    <row r="46" spans="2:15">
      <c r="B46" s="17">
        <v>31</v>
      </c>
      <c r="C46" s="18" t="s">
        <v>119</v>
      </c>
      <c r="D46" s="19" t="s">
        <v>120</v>
      </c>
      <c r="E46" s="19" t="s">
        <v>118</v>
      </c>
      <c r="F46" s="20">
        <v>175</v>
      </c>
      <c r="G46" s="21">
        <v>0.1</v>
      </c>
      <c r="H46" s="22">
        <f>F46 * G46 * 48.400871</f>
        <v>847.0152425</v>
      </c>
      <c r="I46" s="22">
        <f>F46 * G46 * 5.013547</f>
        <v>87.737072499999996</v>
      </c>
      <c r="J46" s="22">
        <f>F46 * G46 * 0</f>
        <v>0</v>
      </c>
      <c r="K46" s="22">
        <f>F46 * G46 * 46.077629</f>
        <v>806.35850750000009</v>
      </c>
      <c r="L46" s="22">
        <f>F46 * G46 * 11.517669</f>
        <v>201.55920749999999</v>
      </c>
      <c r="M46" s="22">
        <f>F46 * G46 * 9.680174</f>
        <v>169.40304499999999</v>
      </c>
      <c r="N46" s="27">
        <f>SUM(H46:M46)</f>
        <v>2112.0730749999998</v>
      </c>
      <c r="O46" s="35">
        <v>4.0664022730248208E-3</v>
      </c>
    </row>
    <row r="47" spans="2:15" ht="16.5" thickBot="1">
      <c r="B47" s="17">
        <v>32</v>
      </c>
      <c r="C47" s="18" t="s">
        <v>121</v>
      </c>
      <c r="D47" s="19" t="s">
        <v>122</v>
      </c>
      <c r="E47" s="19" t="s">
        <v>123</v>
      </c>
      <c r="F47" s="20">
        <v>0.1</v>
      </c>
      <c r="G47" s="21">
        <v>1</v>
      </c>
      <c r="H47" s="22">
        <f>F47 * G47 * 2425.063958</f>
        <v>242.50639580000004</v>
      </c>
      <c r="I47" s="22">
        <f>F47 * G47 * 9099.73286</f>
        <v>909.97328600000003</v>
      </c>
      <c r="J47" s="22">
        <f>F47 * G47 * 413.769664</f>
        <v>41.376966400000001</v>
      </c>
      <c r="K47" s="22">
        <f>F47 * G47 * 2529.649898</f>
        <v>252.96498980000001</v>
      </c>
      <c r="L47" s="22">
        <f>F47 * G47 * 1582.463648</f>
        <v>158.24636480000001</v>
      </c>
      <c r="M47" s="22">
        <f>F47 * G47 * 531.439054</f>
        <v>53.143905400000008</v>
      </c>
      <c r="N47" s="27">
        <f>SUM(H47:M47)</f>
        <v>1658.2119081999999</v>
      </c>
      <c r="O47" s="37">
        <v>3.1925773556207592E-3</v>
      </c>
    </row>
    <row r="48" spans="2:15" s="23" customFormat="1" ht="20.100000000000001" customHeight="1" thickTop="1" thickBot="1">
      <c r="B48" s="48" t="s">
        <v>124</v>
      </c>
      <c r="C48" s="48"/>
      <c r="D48" s="48"/>
      <c r="E48" s="48"/>
      <c r="F48" s="48"/>
      <c r="G48" s="48"/>
      <c r="H48" s="24">
        <f t="shared" ref="H48:O48" si="3">SUM(H4:H47)</f>
        <v>445260.21524273208</v>
      </c>
      <c r="I48" s="24">
        <f t="shared" si="3"/>
        <v>148828.39744437297</v>
      </c>
      <c r="J48" s="24">
        <f t="shared" si="3"/>
        <v>4550.6760253599996</v>
      </c>
      <c r="K48" s="24">
        <f t="shared" si="3"/>
        <v>423971.88353620161</v>
      </c>
      <c r="L48" s="24">
        <f t="shared" si="3"/>
        <v>117282.33458238786</v>
      </c>
      <c r="M48" s="24">
        <f t="shared" si="3"/>
        <v>89069.723357554016</v>
      </c>
      <c r="N48" s="31">
        <f t="shared" si="3"/>
        <v>1228963.2301886086</v>
      </c>
      <c r="O48" s="38">
        <f t="shared" si="3"/>
        <v>2.366139188959115</v>
      </c>
    </row>
    <row r="49" ht="16.5" thickTop="1"/>
  </sheetData>
  <mergeCells count="16">
    <mergeCell ref="B48:G48"/>
    <mergeCell ref="D31:N31"/>
    <mergeCell ref="D34:N34"/>
    <mergeCell ref="D38:N38"/>
    <mergeCell ref="D43:N43"/>
    <mergeCell ref="D44:N44"/>
    <mergeCell ref="D6:N6"/>
    <mergeCell ref="D10:N10"/>
    <mergeCell ref="D12:N12"/>
    <mergeCell ref="D14:N14"/>
    <mergeCell ref="D22:N22"/>
    <mergeCell ref="B2:K3"/>
    <mergeCell ref="L2:M2"/>
    <mergeCell ref="L3:M3"/>
    <mergeCell ref="D4:N4"/>
    <mergeCell ref="D5:N5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&amp;C&amp;KCCCCCC&amp;"Arial"6.1.МКД Содержание новых двороых территорий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6.1.МКД Содержание новых двороых территорий</dc:title>
  <dc:creator/>
  <cp:lastModifiedBy/>
  <cp:lastPrinted>2024-11-19T05:04:00Z</cp:lastPrinted>
  <dcterms:created xsi:type="dcterms:W3CDTF">2024-11-19T05:04:00Z</dcterms:created>
  <dcterms:modified xsi:type="dcterms:W3CDTF">2024-11-19T10:34:40Z</dcterms:modified>
</cp:coreProperties>
</file>